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30" windowHeight="6405" activeTab="0"/>
  </bookViews>
  <sheets>
    <sheet name="Withdrawals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<sst xmlns="http://schemas.openxmlformats.org/spreadsheetml/2006/main" count="44" uniqueCount="43">
  <si>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Inflation Rate =</t>
  </si>
  <si>
    <t>Your Age =</t>
  </si>
  <si>
    <t>Male</t>
  </si>
  <si>
    <t>Female</t>
  </si>
  <si>
    <t>m =</t>
  </si>
  <si>
    <t>c =</t>
  </si>
  <si>
    <t>Annualized Return</t>
  </si>
  <si>
    <t>R =</t>
  </si>
  <si>
    <t>Ratio =</t>
  </si>
  <si>
    <t>Increment =</t>
  </si>
  <si>
    <t>Dying</t>
  </si>
  <si>
    <t>Prob of</t>
  </si>
  <si>
    <t>Years</t>
  </si>
  <si>
    <t>to go</t>
  </si>
  <si>
    <t>Withdrawal</t>
  </si>
  <si>
    <t>Rate</t>
  </si>
  <si>
    <t>f</t>
  </si>
  <si>
    <t>average =</t>
  </si>
  <si>
    <t>Your</t>
  </si>
  <si>
    <t>Age</t>
  </si>
  <si>
    <t>Limit =</t>
  </si>
  <si>
    <t>Number</t>
  </si>
  <si>
    <t>Probability =</t>
  </si>
  <si>
    <t>Corresponding Withdrawal Rate =</t>
  </si>
  <si>
    <t>check sum =</t>
  </si>
  <si>
    <t xml:space="preserve">Fill in the </t>
  </si>
  <si>
    <t>boxes</t>
  </si>
  <si>
    <t>See:</t>
  </si>
  <si>
    <t>http://home.golden.net/~pjponzo/withdrawals.htm</t>
  </si>
  <si>
    <t>Male or Female? (m/f) =</t>
  </si>
  <si>
    <t>Random</t>
  </si>
  <si>
    <t>Withdrawal =</t>
  </si>
  <si>
    <t>Index</t>
  </si>
  <si>
    <t>Inflation Factor</t>
  </si>
  <si>
    <t>Press F9 for another set of Random Returns</t>
  </si>
  <si>
    <t>Chart</t>
  </si>
  <si>
    <t>Critical Age</t>
  </si>
  <si>
    <t xml:space="preserve"> then stare at the chart above</t>
  </si>
  <si>
    <t>A $100 Portfolio with Random Returns</t>
  </si>
  <si>
    <t>using this</t>
  </si>
  <si>
    <t>Don't live this long !!</t>
  </si>
  <si>
    <t>Mean Annual Return =</t>
  </si>
  <si>
    <t>Standard Deviation of Returns 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</si>
</sst>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00000%"/>
    <numFmt numFmtId="173" formatCode="0.0%"/>
    <numFmt numFmtId="174" formatCode="&quot;$&quot;#,##0"/>
    <numFmt numFmtId="175" formatCode="&quot;$&quot;#,##0.00"/>
    <numFmt numFmtId="176" formatCode="0.000"/>
    <numFmt numFmtId="177" formatCode="&quot;$&quot;#,##0.000"/>
  </numFmts>
  <fonts count="8">
    <font>
      <sz val="8"/>
      <name val="Arial"/>
      <family val="0"/>
    </font>
    <font>
      <b/>
      <sz val="8"/>
      <name val="Arial"/>
      <family val="2"/>
    </font>
    <font>
      <sz val="10"/>
      <name val="Arial"/>
      <family val="0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sz val="5.75"/>
      <name val="Arial"/>
      <family val="0"/>
    </font>
    <font>
      <sz val="7"/>
      <name val="Arial"/>
      <family val="2"/>
    </font>
    <font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22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2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10" fontId="0" fillId="0" borderId="0" xfId="0" applyNumberFormat="1" applyAlignment="1">
      <alignment/>
    </xf>
    <xf numFmtId="2" fontId="0" fillId="2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9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1" fillId="4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3" fontId="1" fillId="4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0" fontId="1" fillId="0" borderId="7" xfId="0" applyFont="1" applyBorder="1" applyAlignment="1">
      <alignment horizontal="center" vertical="center"/>
    </xf>
    <xf numFmtId="1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right" vertical="center"/>
    </xf>
    <xf numFmtId="10" fontId="1" fillId="5" borderId="15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right" vertical="center"/>
    </xf>
    <xf numFmtId="10" fontId="1" fillId="5" borderId="10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right" vertical="center"/>
    </xf>
    <xf numFmtId="10" fontId="1" fillId="5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right" vertical="center"/>
    </xf>
    <xf numFmtId="173" fontId="1" fillId="5" borderId="17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1" fillId="4" borderId="1" xfId="0" applyFont="1" applyFill="1" applyBorder="1" applyAlignment="1">
      <alignment/>
    </xf>
    <xf numFmtId="175" fontId="0" fillId="2" borderId="0" xfId="0" applyNumberFormat="1" applyFill="1" applyAlignment="1">
      <alignment/>
    </xf>
    <xf numFmtId="176" fontId="0" fillId="2" borderId="0" xfId="0" applyNumberFormat="1" applyFill="1" applyAlignment="1">
      <alignment/>
    </xf>
    <xf numFmtId="0" fontId="0" fillId="6" borderId="0" xfId="0" applyFill="1" applyAlignment="1">
      <alignment/>
    </xf>
    <xf numFmtId="174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73" fontId="0" fillId="6" borderId="0" xfId="0" applyNumberFormat="1" applyFill="1" applyAlignment="1">
      <alignment horizontal="center" vertical="center"/>
    </xf>
    <xf numFmtId="174" fontId="7" fillId="6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5"/>
          <c:w val="1"/>
          <c:h val="0.94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Withdrawals!$N$4:$N$44</c:f>
              <c:numCache>
                <c:ptCount val="4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</c:numCache>
            </c:numRef>
          </c:cat>
          <c:val>
            <c:numRef>
              <c:f>Withdrawals!$R$4:$R$44</c:f>
              <c:numCache>
                <c:ptCount val="41"/>
                <c:pt idx="0">
                  <c:v>1.0381053520204446</c:v>
                </c:pt>
                <c:pt idx="1">
                  <c:v>0.5287571227979787</c:v>
                </c:pt>
                <c:pt idx="2">
                  <c:v>0.35905350229269173</c:v>
                </c:pt>
                <c:pt idx="3">
                  <c:v>0.27426099249435915</c:v>
                </c:pt>
                <c:pt idx="4">
                  <c:v>0.22343288057614583</c:v>
                </c:pt>
                <c:pt idx="5">
                  <c:v>0.18958691794699203</c:v>
                </c:pt>
                <c:pt idx="6">
                  <c:v>0.16544498869699506</c:v>
                </c:pt>
                <c:pt idx="7">
                  <c:v>0.14736802671684562</c:v>
                </c:pt>
                <c:pt idx="8">
                  <c:v>0.13333432141141885</c:v>
                </c:pt>
                <c:pt idx="9">
                  <c:v>0.12213083999153078</c:v>
                </c:pt>
                <c:pt idx="10">
                  <c:v>0.112985646703122</c:v>
                </c:pt>
                <c:pt idx="11">
                  <c:v>0.10538411244694902</c:v>
                </c:pt>
                <c:pt idx="12">
                  <c:v>0.09896995073226418</c:v>
                </c:pt>
                <c:pt idx="13">
                  <c:v>0.0934886667973995</c:v>
                </c:pt>
                <c:pt idx="14">
                  <c:v>0.08875362708593848</c:v>
                </c:pt>
                <c:pt idx="15">
                  <c:v>0.08462485267281404</c:v>
                </c:pt>
                <c:pt idx="16">
                  <c:v>0.08099529736673884</c:v>
                </c:pt>
                <c:pt idx="17">
                  <c:v>0.07778169978141306</c:v>
                </c:pt>
                <c:pt idx="18">
                  <c:v>0.07491832422902385</c:v>
                </c:pt>
                <c:pt idx="19">
                  <c:v>0.0723525793481423</c:v>
                </c:pt>
                <c:pt idx="20">
                  <c:v>0.07004188855446011</c:v>
                </c:pt>
                <c:pt idx="21">
                  <c:v>0.06795141400700774</c:v>
                </c:pt>
                <c:pt idx="22">
                  <c:v>0.06605237432418332</c:v>
                </c:pt>
                <c:pt idx="23">
                  <c:v>0.06432078287247525</c:v>
                </c:pt>
                <c:pt idx="24">
                  <c:v>0.0627364888674376</c:v>
                </c:pt>
                <c:pt idx="25">
                  <c:v>0.061282439760456706</c:v>
                </c:pt>
                <c:pt idx="26">
                  <c:v>0.059944107540835026</c:v>
                </c:pt>
                <c:pt idx="27">
                  <c:v>0.0587090379742807</c:v>
                </c:pt>
                <c:pt idx="28">
                  <c:v>0.057566493103417604</c:v>
                </c:pt>
                <c:pt idx="29">
                  <c:v>0.05650716524909985</c:v>
                </c:pt>
                <c:pt idx="30">
                  <c:v>0.05552294636711098</c:v>
                </c:pt>
                <c:pt idx="31">
                  <c:v>0.0546067406511836</c:v>
                </c:pt>
                <c:pt idx="32">
                  <c:v>0.05375231120880516</c:v>
                </c:pt>
                <c:pt idx="33">
                  <c:v>0.052954153794754585</c:v>
                </c:pt>
                <c:pt idx="34">
                  <c:v>0.0522073921907561</c:v>
                </c:pt>
                <c:pt idx="35">
                  <c:v>0.0515076910222171</c:v>
                </c:pt>
                <c:pt idx="36">
                  <c:v>0.050851182713079375</c:v>
                </c:pt>
                <c:pt idx="37">
                  <c:v>0.05023440597433339</c:v>
                </c:pt>
                <c:pt idx="38">
                  <c:v>0.0496542537559922</c:v>
                </c:pt>
                <c:pt idx="39">
                  <c:v>0.04910792900636354</c:v>
                </c:pt>
                <c:pt idx="40">
                  <c:v>0.04859290690561239</c:v>
                </c:pt>
              </c:numCache>
            </c:numRef>
          </c:val>
          <c:smooth val="0"/>
        </c:ser>
        <c:marker val="1"/>
        <c:axId val="42319761"/>
        <c:axId val="45333530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Withdrawals!$N$4:$N$44</c:f>
              <c:numCache>
                <c:ptCount val="4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</c:numCache>
            </c:numRef>
          </c:cat>
          <c:val>
            <c:numRef>
              <c:f>Withdrawals!$P$4:$P$44</c:f>
              <c:numCache>
                <c:ptCount val="41"/>
                <c:pt idx="0">
                  <c:v>0.012796277412444934</c:v>
                </c:pt>
                <c:pt idx="1">
                  <c:v>0.013951677279198438</c:v>
                </c:pt>
                <c:pt idx="2">
                  <c:v>0.015189733963101526</c:v>
                </c:pt>
                <c:pt idx="3">
                  <c:v>0.016511624248200962</c:v>
                </c:pt>
                <c:pt idx="4">
                  <c:v>0.01791733367318249</c:v>
                </c:pt>
                <c:pt idx="5">
                  <c:v>0.019405347903261316</c:v>
                </c:pt>
                <c:pt idx="6">
                  <c:v>0.020972302309024138</c:v>
                </c:pt>
                <c:pt idx="7">
                  <c:v>0.02261259141041827</c:v>
                </c:pt>
                <c:pt idx="8">
                  <c:v>0.024317943027937772</c:v>
                </c:pt>
                <c:pt idx="9">
                  <c:v>0.026076966298397397</c:v>
                </c:pt>
                <c:pt idx="10">
                  <c:v>0.027874688345304488</c:v>
                </c:pt>
                <c:pt idx="11">
                  <c:v>0.02969210148477308</c:v>
                </c:pt>
                <c:pt idx="12">
                  <c:v>0.03150575144402157</c:v>
                </c:pt>
                <c:pt idx="13">
                  <c:v>0.03328740705366595</c:v>
                </c:pt>
                <c:pt idx="14">
                  <c:v>0.03500386287440882</c:v>
                </c:pt>
                <c:pt idx="15">
                  <c:v>0.036616937490953405</c:v>
                </c:pt>
                <c:pt idx="16">
                  <c:v>0.0380837405112342</c:v>
                </c:pt>
                <c:pt idx="17">
                  <c:v>0.039357288783658406</c:v>
                </c:pt>
                <c:pt idx="18">
                  <c:v>0.040387554407905535</c:v>
                </c:pt>
                <c:pt idx="19">
                  <c:v>0.04112302045612248</c:v>
                </c:pt>
                <c:pt idx="20">
                  <c:v>0.041512801044509495</c:v>
                </c:pt>
                <c:pt idx="21">
                  <c:v>0.04150934640385873</c:v>
                </c:pt>
                <c:pt idx="22">
                  <c:v>0.04107169732558824</c:v>
                </c:pt>
                <c:pt idx="23">
                  <c:v>0.040169174928481155</c:v>
                </c:pt>
                <c:pt idx="24">
                  <c:v>0.03878529250691365</c:v>
                </c:pt>
                <c:pt idx="25">
                  <c:v>0.0369215628937295</c:v>
                </c:pt>
                <c:pt idx="26">
                  <c:v>0.03460076100578002</c:v>
                </c:pt>
                <c:pt idx="27">
                  <c:v>0.031869109052535816</c:v>
                </c:pt>
                <c:pt idx="28">
                  <c:v>0.028796811155252677</c:v>
                </c:pt>
                <c:pt idx="29">
                  <c:v>0.025476409283638035</c:v>
                </c:pt>
                <c:pt idx="30">
                  <c:v>0.022018595248973538</c:v>
                </c:pt>
                <c:pt idx="31">
                  <c:v>0.01854541170188717</c:v>
                </c:pt>
                <c:pt idx="32">
                  <c:v>0.015181198053556888</c:v>
                </c:pt>
                <c:pt idx="33">
                  <c:v>0.012042132832437935</c:v>
                </c:pt>
                <c:pt idx="34">
                  <c:v>0.0092256929448703</c:v>
                </c:pt>
                <c:pt idx="35">
                  <c:v>0.006801656231169462</c:v>
                </c:pt>
                <c:pt idx="36">
                  <c:v>0.004806274624489015</c:v>
                </c:pt>
                <c:pt idx="37">
                  <c:v>0.0032408454305302703</c:v>
                </c:pt>
                <c:pt idx="38">
                  <c:v>0.0020751168881227855</c:v>
                </c:pt>
                <c:pt idx="39">
                  <c:v>0.0012549338327840776</c:v>
                </c:pt>
                <c:pt idx="40">
                  <c:v>0.0007125432010200994</c:v>
                </c:pt>
              </c:numCache>
            </c:numRef>
          </c:val>
          <c:smooth val="0"/>
        </c:ser>
        <c:marker val="1"/>
        <c:axId val="5348587"/>
        <c:axId val="48137284"/>
      </c:lineChart>
      <c:catAx>
        <c:axId val="423197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0"/>
        <c:lblOffset val="100"/>
        <c:tickLblSkip val="2"/>
        <c:tickMarkSkip val="2"/>
        <c:noMultiLvlLbl val="0"/>
      </c:catAx>
      <c:valAx>
        <c:axId val="45333530"/>
        <c:scaling>
          <c:orientation val="minMax"/>
          <c:max val="0.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midCat"/>
        <c:dispUnits/>
        <c:majorUnit val="0.01"/>
        <c:minorUnit val="0.01"/>
      </c:valAx>
      <c:catAx>
        <c:axId val="5348587"/>
        <c:scaling>
          <c:orientation val="minMax"/>
        </c:scaling>
        <c:axPos val="b"/>
        <c:delete val="1"/>
        <c:majorTickMark val="in"/>
        <c:minorTickMark val="none"/>
        <c:tickLblPos val="nextTo"/>
        <c:crossAx val="48137284"/>
        <c:crosses val="autoZero"/>
        <c:auto val="0"/>
        <c:lblOffset val="100"/>
        <c:noMultiLvlLbl val="0"/>
      </c:catAx>
      <c:valAx>
        <c:axId val="4813728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45"/>
          <c:w val="0.967"/>
          <c:h val="0.995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Withdrawals!$N$4:$N$44</c:f>
              <c:numCache>
                <c:ptCount val="4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</c:numCache>
            </c:numRef>
          </c:cat>
          <c:val>
            <c:numRef>
              <c:f>Withdrawals!$AB$4:$AB$44</c:f>
              <c:numCache>
                <c:ptCount val="4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164.46363622111917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</c:numCache>
            </c:numRef>
          </c:val>
        </c:ser>
        <c:axId val="30582373"/>
        <c:axId val="6805902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Withdrawals!$N$4:$N$44</c:f>
              <c:numCache>
                <c:ptCount val="41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</c:numCache>
            </c:numRef>
          </c:cat>
          <c:val>
            <c:numRef>
              <c:f>Withdrawals!$AA$3:$AA$44</c:f>
              <c:numCache>
                <c:ptCount val="42"/>
                <c:pt idx="0">
                  <c:v>100</c:v>
                </c:pt>
                <c:pt idx="1">
                  <c:v>91.29030038097889</c:v>
                </c:pt>
                <c:pt idx="2">
                  <c:v>98.77289459797818</c:v>
                </c:pt>
                <c:pt idx="3">
                  <c:v>103.06025605567987</c:v>
                </c:pt>
                <c:pt idx="4">
                  <c:v>110.53854343751118</c:v>
                </c:pt>
                <c:pt idx="5">
                  <c:v>94.2168015523274</c:v>
                </c:pt>
                <c:pt idx="6">
                  <c:v>89.00501926677379</c:v>
                </c:pt>
                <c:pt idx="7">
                  <c:v>108.2554235428519</c:v>
                </c:pt>
                <c:pt idx="8">
                  <c:v>114.99293145956263</c:v>
                </c:pt>
                <c:pt idx="9">
                  <c:v>113.07615696682997</c:v>
                </c:pt>
                <c:pt idx="10">
                  <c:v>139.29522265321543</c:v>
                </c:pt>
                <c:pt idx="11">
                  <c:v>140.87446106981193</c:v>
                </c:pt>
                <c:pt idx="12">
                  <c:v>156.52003459663035</c:v>
                </c:pt>
                <c:pt idx="13">
                  <c:v>164.46363622111917</c:v>
                </c:pt>
                <c:pt idx="14">
                  <c:v>155.4737422476849</c:v>
                </c:pt>
                <c:pt idx="15">
                  <c:v>114.52832153187458</c:v>
                </c:pt>
                <c:pt idx="16">
                  <c:v>92.33105623969772</c:v>
                </c:pt>
                <c:pt idx="17">
                  <c:v>88.96180665838882</c:v>
                </c:pt>
                <c:pt idx="18">
                  <c:v>82.18248361750989</c:v>
                </c:pt>
                <c:pt idx="19">
                  <c:v>87.4572853640869</c:v>
                </c:pt>
                <c:pt idx="20">
                  <c:v>93.47315174611602</c:v>
                </c:pt>
                <c:pt idx="21">
                  <c:v>91.01800706586961</c:v>
                </c:pt>
                <c:pt idx="22">
                  <c:v>60.30570498106086</c:v>
                </c:pt>
                <c:pt idx="23">
                  <c:v>66.08640837717337</c:v>
                </c:pt>
                <c:pt idx="24">
                  <c:v>60.30636147096229</c:v>
                </c:pt>
                <c:pt idx="25">
                  <c:v>46.42585480221552</c:v>
                </c:pt>
                <c:pt idx="26">
                  <c:v>34.067971773467235</c:v>
                </c:pt>
                <c:pt idx="27">
                  <c:v>16.354040486860946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axId val="30582373"/>
        <c:axId val="6805902"/>
      </c:lineChart>
      <c:catAx>
        <c:axId val="305823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0.62475</cdr:x>
      <cdr:y>0</cdr:y>
    </cdr:from>
    <cdr:to>
      <cdr:x>0.853</cdr:x>
      <cdr:y>0.1495</cdr:y>
    </cdr:to>
    <cdr:sp textlink="Withdrawals!$S$8">
      <cdr:nvSpPr>
        <cdr:cNvPr id="1" name="TextBox 3"/>
        <cdr:cNvSpPr txBox="1">
          <a:spLocks noChangeArrowheads="1"/>
        </cdr:cNvSpPr>
      </cdr:nvSpPr>
      <cdr:spPr>
        <a:xfrm>
          <a:off x="2657475" y="0"/>
          <a:ext cx="971550" cy="40005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b81fb30-e607-471b-82c2-8c288080d902}" type="TxLink">
            <a:rPr lang="en-US" cap="none" sz="800" b="0" i="0" u="none" baseline="0">
              <a:latin typeface="Arial"/>
              <a:ea typeface="Arial"/>
              <a:cs typeface="Arial"/>
            </a:rPr>
            <a:t>Withdrawal rate approaches 3.8%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0.5145</cdr:x>
      <cdr:y>0.07125</cdr:y>
    </cdr:to>
    <cdr:sp textlink="Withdrawals!$S$9">
      <cdr:nvSpPr>
        <cdr:cNvPr id="2" name="TextBox 4"/>
        <cdr:cNvSpPr txBox="1">
          <a:spLocks noChangeArrowheads="1"/>
        </cdr:cNvSpPr>
      </cdr:nvSpPr>
      <cdr:spPr>
        <a:xfrm>
          <a:off x="0" y="0"/>
          <a:ext cx="219075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b9507455-d50b-4059-8dfb-efa185a65063}" type="TxLink">
            <a:rPr lang="en-US" cap="none" sz="800" b="1" i="0" u="none" baseline="0">
              <a:latin typeface="Arial"/>
              <a:ea typeface="Arial"/>
              <a:cs typeface="Arial"/>
            </a:rPr>
            <a:t>Mean = 9.0%  SD = 15.0%   Inflation = 4.0%</a:t>
          </a:fld>
        </a:p>
      </cdr:txBody>
    </cdr:sp>
  </cdr:relSizeAnchor>
  <cdr:relSizeAnchor xmlns:cdr="http://schemas.openxmlformats.org/drawingml/2006/chartDrawing">
    <cdr:from>
      <cdr:x>0.087</cdr:x>
      <cdr:y>0.4215</cdr:y>
    </cdr:from>
    <cdr:to>
      <cdr:x>0.26375</cdr:x>
      <cdr:y>0.49275</cdr:y>
    </cdr:to>
    <cdr:sp>
      <cdr:nvSpPr>
        <cdr:cNvPr id="3" name="TextBox 5"/>
        <cdr:cNvSpPr txBox="1">
          <a:spLocks noChangeArrowheads="1"/>
        </cdr:cNvSpPr>
      </cdr:nvSpPr>
      <cdr:spPr>
        <a:xfrm>
          <a:off x="361950" y="1123950"/>
          <a:ext cx="752475" cy="1905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Fraction Dying</a:t>
          </a:r>
        </a:p>
      </cdr:txBody>
    </cdr:sp>
  </cdr:relSizeAnchor>
  <cdr:relSizeAnchor xmlns:cdr="http://schemas.openxmlformats.org/drawingml/2006/chartDrawing">
    <cdr:from>
      <cdr:x>0.131</cdr:x>
      <cdr:y>0.65925</cdr:y>
    </cdr:from>
    <cdr:to>
      <cdr:x>0.583</cdr:x>
      <cdr:y>0.887</cdr:y>
    </cdr:to>
    <cdr:sp textlink="Withdrawals!$S$17">
      <cdr:nvSpPr>
        <cdr:cNvPr id="4" name="TextBox 8"/>
        <cdr:cNvSpPr txBox="1">
          <a:spLocks noChangeArrowheads="1"/>
        </cdr:cNvSpPr>
      </cdr:nvSpPr>
      <cdr:spPr>
        <a:xfrm>
          <a:off x="552450" y="1762125"/>
          <a:ext cx="1924050" cy="609600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871f59f-1a7b-4d3f-b1a7-e33da89fa3c0}" type="TxLink">
            <a:rPr lang="en-US" cap="none" sz="800" b="1" i="0" u="none" baseline="0">
              <a:latin typeface="Arial"/>
              <a:ea typeface="Arial"/>
              <a:cs typeface="Arial"/>
            </a:rPr>
            <a:t>You are a female aged 65. There is a 95.0% probability that, with a withdrawal rate of 5.4%, your portfolio will survive you.</a:t>
          </a:fld>
        </a:p>
      </cdr:txBody>
    </cdr:sp>
  </cdr:relSizeAnchor>
  <cdr:relSizeAnchor xmlns:cdr="http://schemas.openxmlformats.org/drawingml/2006/chartDrawing">
    <cdr:from>
      <cdr:x>0.1685</cdr:x>
      <cdr:y>0.10675</cdr:y>
    </cdr:from>
    <cdr:to>
      <cdr:x>0.2445</cdr:x>
      <cdr:y>0.178</cdr:y>
    </cdr:to>
    <cdr:sp>
      <cdr:nvSpPr>
        <cdr:cNvPr id="5" name="TextBox 9"/>
        <cdr:cNvSpPr txBox="1">
          <a:spLocks noChangeArrowheads="1"/>
        </cdr:cNvSpPr>
      </cdr:nvSpPr>
      <cdr:spPr>
        <a:xfrm>
          <a:off x="714375" y="276225"/>
          <a:ext cx="323850" cy="1905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MRW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</cdr:y>
    </cdr:from>
    <cdr:to>
      <cdr:x>0.725</cdr:x>
      <cdr:y>0.07775</cdr:y>
    </cdr:to>
    <cdr:sp textlink="Withdrawals!$S$19">
      <cdr:nvSpPr>
        <cdr:cNvPr id="1" name="TextBox 1"/>
        <cdr:cNvSpPr txBox="1">
          <a:spLocks noChangeArrowheads="1"/>
        </cdr:cNvSpPr>
      </cdr:nvSpPr>
      <cdr:spPr>
        <a:xfrm>
          <a:off x="285750" y="0"/>
          <a:ext cx="1647825" cy="161925"/>
        </a:xfrm>
        <a:prstGeom prst="rect">
          <a:avLst/>
        </a:prstGeom>
        <a:solidFill>
          <a:srgbClr val="FFFFFF"/>
        </a:solidFill>
        <a:ln w="19050" cmpd="sng">
          <a:solidFill>
            <a:srgbClr val="008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142fa324-563d-4ed2-bcd2-0799c6357964}" type="TxLink">
            <a:rPr lang="en-US" cap="none" sz="700" b="0" i="0" u="none" baseline="0">
              <a:latin typeface="Arial"/>
              <a:ea typeface="Arial"/>
              <a:cs typeface="Arial"/>
            </a:rPr>
            <a:t>A $100 Portfolio with Random Returns</a:t>
          </a:fld>
        </a:p>
      </cdr:txBody>
    </cdr:sp>
  </cdr:relSizeAnchor>
  <cdr:relSizeAnchor xmlns:cdr="http://schemas.openxmlformats.org/drawingml/2006/chartDrawing">
    <cdr:from>
      <cdr:x>0.667</cdr:x>
      <cdr:y>0.076</cdr:y>
    </cdr:from>
    <cdr:to>
      <cdr:x>0.992</cdr:x>
      <cdr:y>0.1445</cdr:y>
    </cdr:to>
    <cdr:sp textlink="Withdrawals!$S$20">
      <cdr:nvSpPr>
        <cdr:cNvPr id="2" name="TextBox 2"/>
        <cdr:cNvSpPr txBox="1">
          <a:spLocks noChangeArrowheads="1"/>
        </cdr:cNvSpPr>
      </cdr:nvSpPr>
      <cdr:spPr>
        <a:xfrm>
          <a:off x="1771650" y="152400"/>
          <a:ext cx="866775" cy="142875"/>
        </a:xfrm>
        <a:prstGeom prst="rect">
          <a:avLst/>
        </a:prstGeom>
        <a:solidFill>
          <a:srgbClr val="FFFFFF"/>
        </a:solidFill>
        <a:ln w="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840781ad-de30-4939-a077-205aaa87c9f8}" type="TxLink">
            <a:rPr lang="en-US" cap="none" sz="700" b="0" i="0" u="none" baseline="0">
              <a:latin typeface="Arial"/>
              <a:ea typeface="Arial"/>
              <a:cs typeface="Arial"/>
            </a:rPr>
            <a:t>Don't live this long !!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47625</xdr:rowOff>
    </xdr:from>
    <xdr:to>
      <xdr:col>5</xdr:col>
      <xdr:colOff>638175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47625" y="609600"/>
        <a:ext cx="42576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38100</xdr:rowOff>
    </xdr:from>
    <xdr:to>
      <xdr:col>11</xdr:col>
      <xdr:colOff>0</xdr:colOff>
      <xdr:row>20</xdr:row>
      <xdr:rowOff>114300</xdr:rowOff>
    </xdr:to>
    <xdr:graphicFrame>
      <xdr:nvGraphicFramePr>
        <xdr:cNvPr id="2" name="Chart 5"/>
        <xdr:cNvGraphicFramePr/>
      </xdr:nvGraphicFramePr>
      <xdr:xfrm>
        <a:off x="4371975" y="923925"/>
        <a:ext cx="26670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4"/>
  <sheetViews>
    <sheetView tabSelected="1" workbookViewId="0" topLeftCell="A1">
      <selection activeCell="F33" sqref="F33"/>
    </sheetView>
  </sheetViews>
  <sheetFormatPr defaultColWidth="9.33203125" defaultRowHeight="11.25"/>
  <cols>
    <col min="1" max="1" width="0.65625" style="0" customWidth="1"/>
    <col min="2" max="2" width="34.5" style="0" customWidth="1"/>
    <col min="5" max="5" width="10.33203125" style="0" customWidth="1"/>
    <col min="6" max="6" width="12.33203125" style="0" customWidth="1"/>
    <col min="15" max="16" width="9.33203125" style="1" customWidth="1"/>
    <col min="18" max="18" width="10" style="0" customWidth="1"/>
    <col min="19" max="19" width="11.83203125" style="0" customWidth="1"/>
    <col min="20" max="20" width="7.5" style="0" customWidth="1"/>
    <col min="25" max="25" width="5.83203125" style="0" customWidth="1"/>
    <col min="26" max="28" width="9.33203125" style="1" customWidth="1"/>
  </cols>
  <sheetData>
    <row r="1" spans="25:28" ht="6.75" customHeight="1" thickBot="1">
      <c r="Y1" s="51"/>
      <c r="Z1" s="51"/>
      <c r="AA1" s="55">
        <f>MAX(AA3:AA44)</f>
        <v>103.79075698520165</v>
      </c>
      <c r="AB1" s="53"/>
    </row>
    <row r="2" spans="2:29" ht="12.75" thickBot="1" thickTop="1">
      <c r="B2" s="38" t="s">
        <v>41</v>
      </c>
      <c r="C2" s="39">
        <v>0.09</v>
      </c>
      <c r="E2" s="35"/>
      <c r="F2" s="36" t="s">
        <v>1</v>
      </c>
      <c r="G2" s="37">
        <v>65</v>
      </c>
      <c r="H2" s="15"/>
      <c r="I2" s="44"/>
      <c r="J2" s="45" t="s">
        <v>22</v>
      </c>
      <c r="K2" s="46">
        <v>0.95</v>
      </c>
      <c r="N2" s="5" t="s">
        <v>18</v>
      </c>
      <c r="O2" s="5" t="s">
        <v>11</v>
      </c>
      <c r="P2" s="5" t="s">
        <v>21</v>
      </c>
      <c r="Q2" s="5" t="s">
        <v>12</v>
      </c>
      <c r="R2" s="5" t="s">
        <v>14</v>
      </c>
      <c r="Y2" s="51" t="s">
        <v>32</v>
      </c>
      <c r="Z2" s="53" t="s">
        <v>30</v>
      </c>
      <c r="AA2" s="53" t="s">
        <v>35</v>
      </c>
      <c r="AB2" s="53" t="s">
        <v>36</v>
      </c>
      <c r="AC2" s="18"/>
    </row>
    <row r="3" spans="2:29" ht="12" customHeight="1" thickBot="1" thickTop="1">
      <c r="B3" s="40" t="s">
        <v>42</v>
      </c>
      <c r="C3" s="41">
        <v>0.15</v>
      </c>
      <c r="E3" s="32"/>
      <c r="F3" s="33" t="s">
        <v>29</v>
      </c>
      <c r="G3" s="34" t="s">
        <v>16</v>
      </c>
      <c r="H3" s="15"/>
      <c r="I3" s="15"/>
      <c r="J3" s="15"/>
      <c r="K3" s="15"/>
      <c r="M3" s="2"/>
      <c r="N3" s="5" t="s">
        <v>19</v>
      </c>
      <c r="O3" s="5" t="s">
        <v>10</v>
      </c>
      <c r="P3" s="5" t="s">
        <v>10</v>
      </c>
      <c r="Q3" s="5" t="s">
        <v>13</v>
      </c>
      <c r="R3" s="5" t="s">
        <v>15</v>
      </c>
      <c r="Y3" s="51">
        <v>1</v>
      </c>
      <c r="Z3" s="54">
        <v>0</v>
      </c>
      <c r="AA3" s="52">
        <v>100</v>
      </c>
      <c r="AB3" s="52">
        <v>-1</v>
      </c>
      <c r="AC3" s="13"/>
    </row>
    <row r="4" spans="2:28" ht="12.75" thickBot="1" thickTop="1">
      <c r="B4" s="42" t="s">
        <v>0</v>
      </c>
      <c r="C4" s="43">
        <v>0.04</v>
      </c>
      <c r="M4" s="2"/>
      <c r="N4" s="5">
        <f>G2</f>
        <v>65</v>
      </c>
      <c r="O4" s="6">
        <f>1-EXP(EXP(($G$2-$W$7)/$X$7)*(1-EXP($Q4/$X$7)))</f>
        <v>0.012796277412444934</v>
      </c>
      <c r="P4" s="6">
        <f>1-EXP(EXP(($G$2-$W$7)/$X$7)*(1-EXP($Q4/$X$7)))</f>
        <v>0.012796277412444934</v>
      </c>
      <c r="Q4" s="3">
        <v>1</v>
      </c>
      <c r="R4" s="6">
        <f>$T$7/(1-$T$6^Q4)</f>
        <v>1.0381053520204446</v>
      </c>
      <c r="S4" s="7" t="s">
        <v>6</v>
      </c>
      <c r="T4" s="4"/>
      <c r="V4" s="10"/>
      <c r="W4" s="11" t="s">
        <v>2</v>
      </c>
      <c r="X4" s="11" t="s">
        <v>3</v>
      </c>
      <c r="Y4" s="51">
        <f>1+Y3</f>
        <v>2</v>
      </c>
      <c r="Z4" s="54">
        <f ca="1">NORMINV(RAND(),$C$2,$C$3)</f>
        <v>0.055424478887143774</v>
      </c>
      <c r="AA4" s="52">
        <f>MAX(AA3*(1+Z4)-$T$10*$W$10^Y4,0)</f>
        <v>99.72859790837002</v>
      </c>
      <c r="AB4" s="52">
        <f aca="true" t="shared" si="0" ref="AB4:AB44">IF(N4=$G$2+$K$5,AA$1,-1)</f>
        <v>-1</v>
      </c>
    </row>
    <row r="5" spans="7:28" ht="12.75" thickBot="1" thickTop="1">
      <c r="G5" s="27"/>
      <c r="H5" s="24"/>
      <c r="I5" s="24"/>
      <c r="J5" s="25" t="str">
        <f>"Years to die at "&amp;TEXT(K2,"0.0%")&amp;" probability is "</f>
        <v>Years to die at 95.0% probability is </v>
      </c>
      <c r="K5" s="26">
        <f>ROUNDUP($X$7*LN(1-EXP(($W$7-$G$2)/$X$7)*LN(1-$K$2)),0)</f>
        <v>33</v>
      </c>
      <c r="M5" s="2"/>
      <c r="N5" s="5">
        <f>N4+$T$11</f>
        <v>66</v>
      </c>
      <c r="O5" s="6">
        <f aca="true" t="shared" si="1" ref="O5:O44">1-EXP(EXP(($G$2-$W$7)/$X$7)*(1-EXP($Q5/$X$7)))</f>
        <v>0.026747954691643372</v>
      </c>
      <c r="P5" s="6">
        <f>O5-O4</f>
        <v>0.013951677279198438</v>
      </c>
      <c r="Q5" s="5">
        <f>Q4+$T$11</f>
        <v>2</v>
      </c>
      <c r="R5" s="6">
        <f>$T$7/(1-$T$6^Q5)</f>
        <v>0.5287571227979787</v>
      </c>
      <c r="S5" s="3" t="s">
        <v>7</v>
      </c>
      <c r="T5" s="4">
        <f>SQRT((1+C2)^2-C3^2)-1</f>
        <v>0.07962956610126248</v>
      </c>
      <c r="V5" s="12" t="s">
        <v>4</v>
      </c>
      <c r="W5" s="11">
        <v>81</v>
      </c>
      <c r="X5" s="11">
        <v>86</v>
      </c>
      <c r="Y5" s="51">
        <f aca="true" t="shared" si="2" ref="Y5:Y44">1+Y4</f>
        <v>3</v>
      </c>
      <c r="Z5" s="54">
        <f aca="true" ca="1" t="shared" si="3" ref="Z5:Z44">NORMINV(RAND(),$C$2,$C$3)</f>
        <v>0.10136072569352109</v>
      </c>
      <c r="AA5" s="52">
        <f aca="true" t="shared" si="4" ref="AA5:AA44">MAX(AA4*(1+Z5)-$T$10*$W$10^Y5,0)</f>
        <v>103.79075698520165</v>
      </c>
      <c r="AB5" s="52">
        <f t="shared" si="0"/>
        <v>-1</v>
      </c>
    </row>
    <row r="6" spans="7:28" ht="12.75" thickBot="1" thickTop="1">
      <c r="G6" s="19"/>
      <c r="H6" s="20"/>
      <c r="I6" s="20"/>
      <c r="J6" s="21" t="s">
        <v>23</v>
      </c>
      <c r="K6" s="23">
        <f>$T$7/(1-$T$6^(K5))</f>
        <v>0.05375231120880516</v>
      </c>
      <c r="M6" s="2"/>
      <c r="N6" s="5">
        <f aca="true" t="shared" si="5" ref="N6:Q44">N5+$T$11</f>
        <v>67</v>
      </c>
      <c r="O6" s="6">
        <f t="shared" si="1"/>
        <v>0.0419376886547449</v>
      </c>
      <c r="P6" s="6">
        <f aca="true" t="shared" si="6" ref="P6:P44">O6-O5</f>
        <v>0.015189733963101526</v>
      </c>
      <c r="Q6" s="5">
        <f t="shared" si="5"/>
        <v>3</v>
      </c>
      <c r="R6" s="6">
        <f>$T$7/(1-$T$6^Q6)</f>
        <v>0.35905350229269173</v>
      </c>
      <c r="S6" s="3" t="s">
        <v>8</v>
      </c>
      <c r="T6" s="4">
        <f>(1+C4)/(1+T5)</f>
        <v>0.9632933671459444</v>
      </c>
      <c r="V6" s="12" t="s">
        <v>5</v>
      </c>
      <c r="W6" s="11">
        <v>10.5</v>
      </c>
      <c r="X6" s="11">
        <v>10</v>
      </c>
      <c r="Y6" s="51">
        <f t="shared" si="2"/>
        <v>4</v>
      </c>
      <c r="Z6" s="54">
        <f ca="1" t="shared" si="3"/>
        <v>-0.05212878340913449</v>
      </c>
      <c r="AA6" s="52">
        <f t="shared" si="4"/>
        <v>92.0920109557095</v>
      </c>
      <c r="AB6" s="52">
        <f t="shared" si="0"/>
        <v>-1</v>
      </c>
    </row>
    <row r="7" spans="13:28" ht="12" thickTop="1">
      <c r="M7" s="2"/>
      <c r="N7" s="5">
        <f t="shared" si="5"/>
        <v>68</v>
      </c>
      <c r="O7" s="6">
        <f t="shared" si="1"/>
        <v>0.05844931290294586</v>
      </c>
      <c r="P7" s="6">
        <f t="shared" si="6"/>
        <v>0.016511624248200962</v>
      </c>
      <c r="Q7" s="5">
        <f t="shared" si="5"/>
        <v>4</v>
      </c>
      <c r="R7" s="6">
        <f>$T$7/(1-$T$6^Q7)</f>
        <v>0.27426099249435915</v>
      </c>
      <c r="S7" s="3" t="s">
        <v>20</v>
      </c>
      <c r="T7" s="4">
        <f>(1-T6)/T6</f>
        <v>0.03810535202044463</v>
      </c>
      <c r="V7" s="12" t="s">
        <v>39</v>
      </c>
      <c r="W7" s="11">
        <f>IF(G3="m",W5,X5)</f>
        <v>86</v>
      </c>
      <c r="X7" s="11">
        <f>IF(G3="m",W6,X6)</f>
        <v>10</v>
      </c>
      <c r="Y7" s="51">
        <f t="shared" si="2"/>
        <v>5</v>
      </c>
      <c r="Z7" s="54">
        <f ca="1" t="shared" si="3"/>
        <v>0.02566200373606989</v>
      </c>
      <c r="AA7" s="52">
        <f t="shared" si="4"/>
        <v>87.91548594062702</v>
      </c>
      <c r="AB7" s="52">
        <f t="shared" si="0"/>
        <v>-1</v>
      </c>
    </row>
    <row r="8" spans="13:28" ht="11.25">
      <c r="M8" s="2"/>
      <c r="N8" s="5">
        <f t="shared" si="5"/>
        <v>69</v>
      </c>
      <c r="O8" s="6">
        <f t="shared" si="1"/>
        <v>0.07636664657612835</v>
      </c>
      <c r="P8" s="6">
        <f t="shared" si="6"/>
        <v>0.01791733367318249</v>
      </c>
      <c r="Q8" s="5">
        <f t="shared" si="5"/>
        <v>5</v>
      </c>
      <c r="R8" s="6">
        <f>$T$7/(1-$T$6^Q8)</f>
        <v>0.22343288057614583</v>
      </c>
      <c r="S8" s="8" t="str">
        <f>"Withdrawal rate approaches "&amp;TEXT(T7,"0.0%")</f>
        <v>Withdrawal rate approaches 3.8%</v>
      </c>
      <c r="T8" s="9"/>
      <c r="U8" s="9"/>
      <c r="V8" s="9"/>
      <c r="W8" s="9"/>
      <c r="X8" s="9"/>
      <c r="Y8" s="51">
        <f t="shared" si="2"/>
        <v>6</v>
      </c>
      <c r="Z8" s="54">
        <f ca="1" t="shared" si="3"/>
        <v>0.027094628421618833</v>
      </c>
      <c r="AA8" s="52">
        <f t="shared" si="4"/>
        <v>83.49614119863269</v>
      </c>
      <c r="AB8" s="52">
        <f t="shared" si="0"/>
        <v>-1</v>
      </c>
    </row>
    <row r="9" spans="13:28" ht="11.25">
      <c r="M9" s="2"/>
      <c r="N9" s="5">
        <f t="shared" si="5"/>
        <v>70</v>
      </c>
      <c r="O9" s="6">
        <f t="shared" si="1"/>
        <v>0.09577199447938967</v>
      </c>
      <c r="P9" s="6">
        <f t="shared" si="6"/>
        <v>0.019405347903261316</v>
      </c>
      <c r="Q9" s="5">
        <f t="shared" si="5"/>
        <v>6</v>
      </c>
      <c r="R9" s="6">
        <f aca="true" t="shared" si="7" ref="R9:R44">$T$7/(1-$T$6^Q9)</f>
        <v>0.18958691794699203</v>
      </c>
      <c r="S9" s="9" t="str">
        <f>"Mean = "&amp;TEXT(C2,"0.0%")&amp;"  SD = "&amp;TEXT(C3,"0.0%")&amp;"   Inflation = "&amp;TEXT(C4,"0.0%")</f>
        <v>Mean = 9.0%  SD = 15.0%   Inflation = 4.0%</v>
      </c>
      <c r="T9" s="9"/>
      <c r="U9" s="9"/>
      <c r="V9" s="9"/>
      <c r="W9" s="9"/>
      <c r="X9" s="9"/>
      <c r="Y9" s="51">
        <f t="shared" si="2"/>
        <v>7</v>
      </c>
      <c r="Z9" s="54">
        <f ca="1" t="shared" si="3"/>
        <v>0.1038066411636828</v>
      </c>
      <c r="AA9" s="52">
        <f t="shared" si="4"/>
        <v>85.0901577138872</v>
      </c>
      <c r="AB9" s="52">
        <f t="shared" si="0"/>
        <v>-1</v>
      </c>
    </row>
    <row r="10" spans="8:28" ht="11.25">
      <c r="H10" s="13"/>
      <c r="I10" s="13"/>
      <c r="J10" s="13"/>
      <c r="K10" s="13"/>
      <c r="M10" s="2"/>
      <c r="N10" s="5">
        <f t="shared" si="5"/>
        <v>71</v>
      </c>
      <c r="O10" s="6">
        <f t="shared" si="1"/>
        <v>0.1167442967884138</v>
      </c>
      <c r="P10" s="6">
        <f t="shared" si="6"/>
        <v>0.020972302309024138</v>
      </c>
      <c r="Q10" s="5">
        <f t="shared" si="5"/>
        <v>7</v>
      </c>
      <c r="R10" s="6">
        <f t="shared" si="7"/>
        <v>0.16544498869699506</v>
      </c>
      <c r="S10" s="9" t="s">
        <v>31</v>
      </c>
      <c r="T10" s="49">
        <f>100*K6</f>
        <v>5.375231120880516</v>
      </c>
      <c r="U10" s="9"/>
      <c r="V10" s="16" t="s">
        <v>33</v>
      </c>
      <c r="W10" s="50">
        <f>1+C4</f>
        <v>1.04</v>
      </c>
      <c r="X10" s="9"/>
      <c r="Y10" s="51">
        <f t="shared" si="2"/>
        <v>8</v>
      </c>
      <c r="Z10" s="54">
        <f ca="1" t="shared" si="3"/>
        <v>0.23511067547573475</v>
      </c>
      <c r="AA10" s="52">
        <f t="shared" si="4"/>
        <v>97.73938721952369</v>
      </c>
      <c r="AB10" s="52">
        <f t="shared" si="0"/>
        <v>-1</v>
      </c>
    </row>
    <row r="11" spans="5:28" ht="11.25">
      <c r="E11" s="1"/>
      <c r="M11" s="2"/>
      <c r="N11" s="5">
        <f t="shared" si="5"/>
        <v>72</v>
      </c>
      <c r="O11" s="6">
        <f t="shared" si="1"/>
        <v>0.13935688819883207</v>
      </c>
      <c r="P11" s="6">
        <f t="shared" si="6"/>
        <v>0.02261259141041827</v>
      </c>
      <c r="Q11" s="5">
        <f t="shared" si="5"/>
        <v>8</v>
      </c>
      <c r="R11" s="6">
        <f t="shared" si="7"/>
        <v>0.14736802671684562</v>
      </c>
      <c r="S11" s="5" t="s">
        <v>9</v>
      </c>
      <c r="T11" s="14">
        <f>MAX(ROUNDUP((100-G2)/50,0),1)</f>
        <v>1</v>
      </c>
      <c r="U11" s="9"/>
      <c r="V11" s="9"/>
      <c r="W11" s="9"/>
      <c r="X11" s="9"/>
      <c r="Y11" s="51">
        <f t="shared" si="2"/>
        <v>9</v>
      </c>
      <c r="Z11" s="54">
        <f ca="1" t="shared" si="3"/>
        <v>0.02619968563507427</v>
      </c>
      <c r="AA11" s="52">
        <f t="shared" si="4"/>
        <v>92.6494984899952</v>
      </c>
      <c r="AB11" s="52">
        <f t="shared" si="0"/>
        <v>-1</v>
      </c>
    </row>
    <row r="12" spans="13:28" ht="11.25">
      <c r="M12" s="2"/>
      <c r="N12" s="5">
        <f t="shared" si="5"/>
        <v>73</v>
      </c>
      <c r="O12" s="6">
        <f t="shared" si="1"/>
        <v>0.16367483122676985</v>
      </c>
      <c r="P12" s="6">
        <f t="shared" si="6"/>
        <v>0.024317943027937772</v>
      </c>
      <c r="Q12" s="5">
        <f t="shared" si="5"/>
        <v>9</v>
      </c>
      <c r="R12" s="6">
        <f t="shared" si="7"/>
        <v>0.13333432141141885</v>
      </c>
      <c r="S12" s="9"/>
      <c r="T12" s="9"/>
      <c r="U12" s="9"/>
      <c r="V12" s="9"/>
      <c r="W12" s="9"/>
      <c r="X12" s="9"/>
      <c r="Y12" s="51">
        <f t="shared" si="2"/>
        <v>10</v>
      </c>
      <c r="Z12" s="54">
        <f ca="1" t="shared" si="3"/>
        <v>-0.0625277184555307</v>
      </c>
      <c r="AA12" s="52">
        <f t="shared" si="4"/>
        <v>78.89968158656805</v>
      </c>
      <c r="AB12" s="52">
        <f t="shared" si="0"/>
        <v>-1</v>
      </c>
    </row>
    <row r="13" spans="13:28" ht="11.25">
      <c r="M13" s="2"/>
      <c r="N13" s="5">
        <f t="shared" si="5"/>
        <v>74</v>
      </c>
      <c r="O13" s="6">
        <f t="shared" si="1"/>
        <v>0.18975179752516724</v>
      </c>
      <c r="P13" s="6">
        <f t="shared" si="6"/>
        <v>0.026076966298397397</v>
      </c>
      <c r="Q13" s="5">
        <f t="shared" si="5"/>
        <v>10</v>
      </c>
      <c r="R13" s="6">
        <f t="shared" si="7"/>
        <v>0.12213083999153078</v>
      </c>
      <c r="S13" s="16" t="s">
        <v>24</v>
      </c>
      <c r="T13" s="17">
        <f>SUM(P4:P44)</f>
        <v>0.999301516967344</v>
      </c>
      <c r="U13" s="9"/>
      <c r="V13" s="9"/>
      <c r="W13" s="9"/>
      <c r="X13" s="9"/>
      <c r="Y13" s="51">
        <f t="shared" si="2"/>
        <v>11</v>
      </c>
      <c r="Z13" s="54">
        <f ca="1" t="shared" si="3"/>
        <v>0.14963357807559077</v>
      </c>
      <c r="AA13" s="52">
        <f t="shared" si="4"/>
        <v>82.43080189872047</v>
      </c>
      <c r="AB13" s="52">
        <f t="shared" si="0"/>
        <v>-1</v>
      </c>
    </row>
    <row r="14" spans="13:28" ht="11.25">
      <c r="M14" s="2"/>
      <c r="N14" s="5">
        <f t="shared" si="5"/>
        <v>75</v>
      </c>
      <c r="O14" s="6">
        <f t="shared" si="1"/>
        <v>0.21762648587047173</v>
      </c>
      <c r="P14" s="6">
        <f t="shared" si="6"/>
        <v>0.027874688345304488</v>
      </c>
      <c r="Q14" s="5">
        <f t="shared" si="5"/>
        <v>11</v>
      </c>
      <c r="R14" s="6">
        <f t="shared" si="7"/>
        <v>0.112985646703122</v>
      </c>
      <c r="S14" s="16" t="s">
        <v>17</v>
      </c>
      <c r="T14" s="6">
        <f>SUMPRODUCT(P4:P44,R4:R44)</f>
        <v>0.11030671567374656</v>
      </c>
      <c r="U14" s="9"/>
      <c r="V14" s="9"/>
      <c r="W14" s="9"/>
      <c r="X14" s="9"/>
      <c r="Y14" s="51">
        <f t="shared" si="2"/>
        <v>12</v>
      </c>
      <c r="Z14" s="54">
        <f ca="1" t="shared" si="3"/>
        <v>-0.002545747065742038</v>
      </c>
      <c r="AA14" s="52">
        <f t="shared" si="4"/>
        <v>73.61503571988267</v>
      </c>
      <c r="AB14" s="52">
        <f t="shared" si="0"/>
        <v>-1</v>
      </c>
    </row>
    <row r="15" spans="13:28" ht="11.25">
      <c r="M15" s="2"/>
      <c r="N15" s="5">
        <f t="shared" si="5"/>
        <v>76</v>
      </c>
      <c r="O15" s="6">
        <f t="shared" si="1"/>
        <v>0.2473185873552448</v>
      </c>
      <c r="P15" s="6">
        <f t="shared" si="6"/>
        <v>0.02969210148477308</v>
      </c>
      <c r="Q15" s="5">
        <f t="shared" si="5"/>
        <v>12</v>
      </c>
      <c r="R15" s="6">
        <f t="shared" si="7"/>
        <v>0.10538411244694902</v>
      </c>
      <c r="S15" s="9" t="str">
        <f>"Weighted Average Withdrawal rate = "&amp;TEXT(T14,"0.0%")</f>
        <v>Weighted Average Withdrawal rate = 11.0%</v>
      </c>
      <c r="T15" s="9"/>
      <c r="U15" s="9"/>
      <c r="V15" s="9"/>
      <c r="W15" s="9"/>
      <c r="X15" s="9"/>
      <c r="Y15" s="51">
        <f t="shared" si="2"/>
        <v>13</v>
      </c>
      <c r="Z15" s="54">
        <f ca="1" t="shared" si="3"/>
        <v>0.049847116315359014</v>
      </c>
      <c r="AA15" s="52">
        <f t="shared" si="4"/>
        <v>68.3343780329225</v>
      </c>
      <c r="AB15" s="52">
        <f t="shared" si="0"/>
        <v>-1</v>
      </c>
    </row>
    <row r="16" spans="13:28" ht="11.25">
      <c r="M16" s="2"/>
      <c r="N16" s="5">
        <f t="shared" si="5"/>
        <v>77</v>
      </c>
      <c r="O16" s="6">
        <f t="shared" si="1"/>
        <v>0.2788243387992664</v>
      </c>
      <c r="P16" s="6">
        <f t="shared" si="6"/>
        <v>0.03150575144402157</v>
      </c>
      <c r="Q16" s="5">
        <f t="shared" si="5"/>
        <v>13</v>
      </c>
      <c r="R16" s="6">
        <f t="shared" si="7"/>
        <v>0.09896995073226418</v>
      </c>
      <c r="S16" s="9"/>
      <c r="T16" s="9"/>
      <c r="U16" s="9"/>
      <c r="V16" s="9"/>
      <c r="W16" s="9"/>
      <c r="X16" s="9"/>
      <c r="Y16" s="51">
        <f t="shared" si="2"/>
        <v>14</v>
      </c>
      <c r="Z16" s="54">
        <f ca="1" t="shared" si="3"/>
        <v>0.013981363281200171</v>
      </c>
      <c r="AA16" s="52">
        <f t="shared" si="4"/>
        <v>59.98162466434524</v>
      </c>
      <c r="AB16" s="52">
        <f t="shared" si="0"/>
        <v>-1</v>
      </c>
    </row>
    <row r="17" spans="13:28" ht="11.25">
      <c r="M17" s="2"/>
      <c r="N17" s="5">
        <f t="shared" si="5"/>
        <v>78</v>
      </c>
      <c r="O17" s="6">
        <f t="shared" si="1"/>
        <v>0.31211174585293233</v>
      </c>
      <c r="P17" s="6">
        <f t="shared" si="6"/>
        <v>0.03328740705366595</v>
      </c>
      <c r="Q17" s="5">
        <f t="shared" si="5"/>
        <v>14</v>
      </c>
      <c r="R17" s="6">
        <f t="shared" si="7"/>
        <v>0.0934886667973995</v>
      </c>
      <c r="S17" s="9" t="str">
        <f>"You are a "&amp;IF(G3="m","male","female")&amp;" aged "&amp;TEXT(G2,"0")&amp;". There is a "&amp;TEXT(K2,"0.0%")&amp;" probability that, with a withdrawal rate of "&amp;TEXT(K6,"0.0%")&amp;", your portfolio will survive you."</f>
        <v>You are a female aged 65. There is a 95.0% probability that, with a withdrawal rate of 5.4%, your portfolio will survive you.</v>
      </c>
      <c r="T17" s="9"/>
      <c r="U17" s="9"/>
      <c r="V17" s="9"/>
      <c r="W17" s="9"/>
      <c r="X17" s="9"/>
      <c r="Y17" s="51">
        <f t="shared" si="2"/>
        <v>15</v>
      </c>
      <c r="Z17" s="54">
        <f ca="1" t="shared" si="3"/>
        <v>0.3014902599714696</v>
      </c>
      <c r="AA17" s="52">
        <f t="shared" si="4"/>
        <v>68.38501270016135</v>
      </c>
      <c r="AB17" s="52">
        <f t="shared" si="0"/>
        <v>-1</v>
      </c>
    </row>
    <row r="18" spans="13:28" ht="11.25">
      <c r="M18" s="2"/>
      <c r="N18" s="5">
        <f t="shared" si="5"/>
        <v>79</v>
      </c>
      <c r="O18" s="6">
        <f t="shared" si="1"/>
        <v>0.34711560872734115</v>
      </c>
      <c r="P18" s="6">
        <f t="shared" si="6"/>
        <v>0.03500386287440882</v>
      </c>
      <c r="Q18" s="5">
        <f t="shared" si="5"/>
        <v>15</v>
      </c>
      <c r="R18" s="6">
        <f t="shared" si="7"/>
        <v>0.08875362708593848</v>
      </c>
      <c r="S18" s="9"/>
      <c r="T18" s="9"/>
      <c r="U18" s="9"/>
      <c r="V18" s="9"/>
      <c r="W18" s="9"/>
      <c r="X18" s="9"/>
      <c r="Y18" s="51">
        <f t="shared" si="2"/>
        <v>16</v>
      </c>
      <c r="Z18" s="54">
        <f ca="1" t="shared" si="3"/>
        <v>0.1301690840590163</v>
      </c>
      <c r="AA18" s="52">
        <f t="shared" si="4"/>
        <v>67.21892008584719</v>
      </c>
      <c r="AB18" s="52">
        <f t="shared" si="0"/>
        <v>-1</v>
      </c>
    </row>
    <row r="19" spans="13:28" ht="11.25">
      <c r="M19" s="2"/>
      <c r="N19" s="5">
        <f t="shared" si="5"/>
        <v>80</v>
      </c>
      <c r="O19" s="6">
        <f t="shared" si="1"/>
        <v>0.38373254621829456</v>
      </c>
      <c r="P19" s="6">
        <f t="shared" si="6"/>
        <v>0.036616937490953405</v>
      </c>
      <c r="Q19" s="5">
        <f t="shared" si="5"/>
        <v>16</v>
      </c>
      <c r="R19" s="6">
        <f>$T$7/(1-$T$6^Q19)</f>
        <v>0.08462485267281404</v>
      </c>
      <c r="S19" s="9" t="s">
        <v>38</v>
      </c>
      <c r="T19" s="9"/>
      <c r="U19" s="9"/>
      <c r="V19" s="9"/>
      <c r="W19" s="9"/>
      <c r="X19" s="9"/>
      <c r="Y19" s="51">
        <f t="shared" si="2"/>
        <v>17</v>
      </c>
      <c r="Z19" s="54">
        <f ca="1" t="shared" si="3"/>
        <v>0.09952752543526003</v>
      </c>
      <c r="AA19" s="52">
        <f t="shared" si="4"/>
        <v>63.438637500329364</v>
      </c>
      <c r="AB19" s="52">
        <f t="shared" si="0"/>
        <v>-1</v>
      </c>
    </row>
    <row r="20" spans="13:28" ht="11.25">
      <c r="M20" s="2"/>
      <c r="N20" s="5">
        <f t="shared" si="5"/>
        <v>81</v>
      </c>
      <c r="O20" s="6">
        <f t="shared" si="1"/>
        <v>0.42181628672952876</v>
      </c>
      <c r="P20" s="6">
        <f t="shared" si="6"/>
        <v>0.0380837405112342</v>
      </c>
      <c r="Q20" s="5">
        <f t="shared" si="5"/>
        <v>17</v>
      </c>
      <c r="R20" s="6">
        <f t="shared" si="7"/>
        <v>0.08099529736673884</v>
      </c>
      <c r="S20" s="9" t="s">
        <v>40</v>
      </c>
      <c r="T20" s="9"/>
      <c r="Y20" s="51">
        <f t="shared" si="2"/>
        <v>18</v>
      </c>
      <c r="Z20" s="54">
        <f ca="1" t="shared" si="3"/>
        <v>0.05332371665630489</v>
      </c>
      <c r="AA20" s="52">
        <f t="shared" si="4"/>
        <v>55.93218945280256</v>
      </c>
      <c r="AB20" s="52">
        <f t="shared" si="0"/>
        <v>-1</v>
      </c>
    </row>
    <row r="21" spans="13:28" ht="12" thickBot="1">
      <c r="M21" s="2"/>
      <c r="N21" s="5">
        <f t="shared" si="5"/>
        <v>82</v>
      </c>
      <c r="O21" s="6">
        <f t="shared" si="1"/>
        <v>0.46117357551318716</v>
      </c>
      <c r="P21" s="6">
        <f t="shared" si="6"/>
        <v>0.039357288783658406</v>
      </c>
      <c r="Q21" s="5">
        <f t="shared" si="5"/>
        <v>18</v>
      </c>
      <c r="R21" s="6">
        <f t="shared" si="7"/>
        <v>0.07778169978141306</v>
      </c>
      <c r="U21" s="18"/>
      <c r="Y21" s="51">
        <f t="shared" si="2"/>
        <v>19</v>
      </c>
      <c r="Z21" s="54">
        <f ca="1" t="shared" si="3"/>
        <v>-0.04621752259496134</v>
      </c>
      <c r="AA21" s="52">
        <f t="shared" si="4"/>
        <v>42.02234096517933</v>
      </c>
      <c r="AB21" s="52">
        <f t="shared" si="0"/>
        <v>-1</v>
      </c>
    </row>
    <row r="22" spans="7:28" ht="12.75" thickBot="1" thickTop="1">
      <c r="G22" s="48" t="s">
        <v>34</v>
      </c>
      <c r="H22" s="20"/>
      <c r="I22" s="20"/>
      <c r="J22" s="20"/>
      <c r="K22" s="47"/>
      <c r="M22" s="2"/>
      <c r="N22" s="5">
        <f t="shared" si="5"/>
        <v>83</v>
      </c>
      <c r="O22" s="6">
        <f t="shared" si="1"/>
        <v>0.5015611299210927</v>
      </c>
      <c r="P22" s="6">
        <f t="shared" si="6"/>
        <v>0.040387554407905535</v>
      </c>
      <c r="Q22" s="5">
        <f t="shared" si="5"/>
        <v>19</v>
      </c>
      <c r="R22" s="6">
        <f t="shared" si="7"/>
        <v>0.07491832422902385</v>
      </c>
      <c r="Y22" s="51">
        <f t="shared" si="2"/>
        <v>20</v>
      </c>
      <c r="Z22" s="54">
        <f ca="1" t="shared" si="3"/>
        <v>0.18385917110193986</v>
      </c>
      <c r="AA22" s="52">
        <f t="shared" si="4"/>
        <v>37.970740434685524</v>
      </c>
      <c r="AB22" s="52">
        <f t="shared" si="0"/>
        <v>-1</v>
      </c>
    </row>
    <row r="23" spans="13:28" ht="12" thickTop="1">
      <c r="M23" s="2"/>
      <c r="N23" s="5">
        <f t="shared" si="5"/>
        <v>84</v>
      </c>
      <c r="O23" s="6">
        <f t="shared" si="1"/>
        <v>0.5426841503772152</v>
      </c>
      <c r="P23" s="6">
        <f t="shared" si="6"/>
        <v>0.04112302045612248</v>
      </c>
      <c r="Q23" s="5">
        <f t="shared" si="5"/>
        <v>20</v>
      </c>
      <c r="R23" s="6">
        <f t="shared" si="7"/>
        <v>0.0723525793481423</v>
      </c>
      <c r="Y23" s="51">
        <f t="shared" si="2"/>
        <v>21</v>
      </c>
      <c r="Z23" s="54">
        <f ca="1" t="shared" si="3"/>
        <v>0.01655057212687097</v>
      </c>
      <c r="AA23" s="52">
        <f t="shared" si="4"/>
        <v>26.350272872521117</v>
      </c>
      <c r="AB23" s="52">
        <f t="shared" si="0"/>
        <v>-1</v>
      </c>
    </row>
    <row r="24" spans="7:28" ht="12" thickBot="1">
      <c r="G24" s="31" t="s">
        <v>27</v>
      </c>
      <c r="M24" s="2"/>
      <c r="N24" s="5">
        <f t="shared" si="5"/>
        <v>85</v>
      </c>
      <c r="O24" s="6">
        <f t="shared" si="1"/>
        <v>0.5841969514217247</v>
      </c>
      <c r="P24" s="6">
        <f t="shared" si="6"/>
        <v>0.041512801044509495</v>
      </c>
      <c r="Q24" s="5">
        <f t="shared" si="5"/>
        <v>21</v>
      </c>
      <c r="R24" s="6">
        <f t="shared" si="7"/>
        <v>0.07004188855446011</v>
      </c>
      <c r="Y24" s="51">
        <f t="shared" si="2"/>
        <v>22</v>
      </c>
      <c r="Z24" s="54">
        <f ca="1" t="shared" si="3"/>
        <v>-0.041113893075962554</v>
      </c>
      <c r="AA24" s="52">
        <f t="shared" si="4"/>
        <v>12.528049329060904</v>
      </c>
      <c r="AB24" s="52">
        <f t="shared" si="0"/>
        <v>-1</v>
      </c>
    </row>
    <row r="25" spans="2:28" ht="12.75" thickBot="1" thickTop="1">
      <c r="B25" s="22" t="s">
        <v>25</v>
      </c>
      <c r="C25" s="28" t="s">
        <v>26</v>
      </c>
      <c r="D25" s="29" t="s">
        <v>37</v>
      </c>
      <c r="G25" s="30" t="s">
        <v>28</v>
      </c>
      <c r="M25" s="2"/>
      <c r="N25" s="5">
        <f t="shared" si="5"/>
        <v>86</v>
      </c>
      <c r="O25" s="6">
        <f t="shared" si="1"/>
        <v>0.6257062978255834</v>
      </c>
      <c r="P25" s="6">
        <f t="shared" si="6"/>
        <v>0.04150934640385873</v>
      </c>
      <c r="Q25" s="5">
        <f t="shared" si="5"/>
        <v>22</v>
      </c>
      <c r="R25" s="6">
        <f t="shared" si="7"/>
        <v>0.06795141400700774</v>
      </c>
      <c r="Y25" s="51">
        <f t="shared" si="2"/>
        <v>23</v>
      </c>
      <c r="Z25" s="54">
        <f ca="1" t="shared" si="3"/>
        <v>0.034122009765123945</v>
      </c>
      <c r="AA25" s="52">
        <f t="shared" si="4"/>
        <v>0</v>
      </c>
      <c r="AB25" s="52">
        <f t="shared" si="0"/>
        <v>-1</v>
      </c>
    </row>
    <row r="26" spans="13:28" ht="12" thickTop="1">
      <c r="M26" s="2"/>
      <c r="N26" s="5">
        <f t="shared" si="5"/>
        <v>87</v>
      </c>
      <c r="O26" s="6">
        <f t="shared" si="1"/>
        <v>0.6667779951511716</v>
      </c>
      <c r="P26" s="6">
        <f t="shared" si="6"/>
        <v>0.04107169732558824</v>
      </c>
      <c r="Q26" s="5">
        <f t="shared" si="5"/>
        <v>23</v>
      </c>
      <c r="R26" s="6">
        <f t="shared" si="7"/>
        <v>0.06605237432418332</v>
      </c>
      <c r="Y26" s="51">
        <f t="shared" si="2"/>
        <v>24</v>
      </c>
      <c r="Z26" s="54">
        <f ca="1" t="shared" si="3"/>
        <v>-0.015008439277298752</v>
      </c>
      <c r="AA26" s="52">
        <f t="shared" si="4"/>
        <v>0</v>
      </c>
      <c r="AB26" s="52">
        <f t="shared" si="0"/>
        <v>-1</v>
      </c>
    </row>
    <row r="27" spans="13:28" ht="11.25">
      <c r="M27" s="2"/>
      <c r="N27" s="5">
        <f t="shared" si="5"/>
        <v>88</v>
      </c>
      <c r="O27" s="6">
        <f t="shared" si="1"/>
        <v>0.7069471700796528</v>
      </c>
      <c r="P27" s="6">
        <f t="shared" si="6"/>
        <v>0.040169174928481155</v>
      </c>
      <c r="Q27" s="5">
        <f t="shared" si="5"/>
        <v>24</v>
      </c>
      <c r="R27" s="6">
        <f t="shared" si="7"/>
        <v>0.06432078287247525</v>
      </c>
      <c r="Y27" s="51">
        <f t="shared" si="2"/>
        <v>25</v>
      </c>
      <c r="Z27" s="54">
        <f ca="1" t="shared" si="3"/>
        <v>0.037910339415102495</v>
      </c>
      <c r="AA27" s="52">
        <f t="shared" si="4"/>
        <v>0</v>
      </c>
      <c r="AB27" s="52">
        <f t="shared" si="0"/>
        <v>-1</v>
      </c>
    </row>
    <row r="28" spans="13:28" ht="11.25">
      <c r="M28" s="2"/>
      <c r="N28" s="5">
        <f t="shared" si="5"/>
        <v>89</v>
      </c>
      <c r="O28" s="6">
        <f t="shared" si="1"/>
        <v>0.7457324625865664</v>
      </c>
      <c r="P28" s="6">
        <f t="shared" si="6"/>
        <v>0.03878529250691365</v>
      </c>
      <c r="Q28" s="5">
        <f t="shared" si="5"/>
        <v>25</v>
      </c>
      <c r="R28" s="6">
        <f t="shared" si="7"/>
        <v>0.0627364888674376</v>
      </c>
      <c r="Y28" s="51">
        <f t="shared" si="2"/>
        <v>26</v>
      </c>
      <c r="Z28" s="54">
        <f ca="1" t="shared" si="3"/>
        <v>0.412444066114258</v>
      </c>
      <c r="AA28" s="52">
        <f t="shared" si="4"/>
        <v>0</v>
      </c>
      <c r="AB28" s="52">
        <f t="shared" si="0"/>
        <v>-1</v>
      </c>
    </row>
    <row r="29" spans="13:28" ht="11.25">
      <c r="M29" s="2"/>
      <c r="N29" s="5">
        <f t="shared" si="5"/>
        <v>90</v>
      </c>
      <c r="O29" s="6">
        <f t="shared" si="1"/>
        <v>0.782654025480296</v>
      </c>
      <c r="P29" s="6">
        <f t="shared" si="6"/>
        <v>0.0369215628937295</v>
      </c>
      <c r="Q29" s="5">
        <f t="shared" si="5"/>
        <v>26</v>
      </c>
      <c r="R29" s="6">
        <f t="shared" si="7"/>
        <v>0.061282439760456706</v>
      </c>
      <c r="Y29" s="51">
        <f t="shared" si="2"/>
        <v>27</v>
      </c>
      <c r="Z29" s="54">
        <f ca="1" t="shared" si="3"/>
        <v>-0.08920240225066664</v>
      </c>
      <c r="AA29" s="52">
        <f t="shared" si="4"/>
        <v>0</v>
      </c>
      <c r="AB29" s="52">
        <f t="shared" si="0"/>
        <v>-1</v>
      </c>
    </row>
    <row r="30" spans="13:28" ht="11.25">
      <c r="M30" s="2"/>
      <c r="N30" s="5">
        <f t="shared" si="5"/>
        <v>91</v>
      </c>
      <c r="O30" s="6">
        <f t="shared" si="1"/>
        <v>0.817254786486076</v>
      </c>
      <c r="P30" s="6">
        <f t="shared" si="6"/>
        <v>0.03460076100578002</v>
      </c>
      <c r="Q30" s="5">
        <f t="shared" si="5"/>
        <v>27</v>
      </c>
      <c r="R30" s="6">
        <f t="shared" si="7"/>
        <v>0.059944107540835026</v>
      </c>
      <c r="Y30" s="51">
        <f t="shared" si="2"/>
        <v>28</v>
      </c>
      <c r="Z30" s="54">
        <f ca="1" t="shared" si="3"/>
        <v>0.08407236828119494</v>
      </c>
      <c r="AA30" s="52">
        <f t="shared" si="4"/>
        <v>0</v>
      </c>
      <c r="AB30" s="52">
        <f t="shared" si="0"/>
        <v>-1</v>
      </c>
    </row>
    <row r="31" spans="13:28" ht="11.25">
      <c r="M31" s="2"/>
      <c r="N31" s="5">
        <f t="shared" si="5"/>
        <v>92</v>
      </c>
      <c r="O31" s="6">
        <f t="shared" si="1"/>
        <v>0.8491238955386118</v>
      </c>
      <c r="P31" s="6">
        <f t="shared" si="6"/>
        <v>0.031869109052535816</v>
      </c>
      <c r="Q31" s="5">
        <f t="shared" si="5"/>
        <v>28</v>
      </c>
      <c r="R31" s="6">
        <f t="shared" si="7"/>
        <v>0.0587090379742807</v>
      </c>
      <c r="Y31" s="51">
        <f t="shared" si="2"/>
        <v>29</v>
      </c>
      <c r="Z31" s="54">
        <f ca="1" t="shared" si="3"/>
        <v>0.3006908141286112</v>
      </c>
      <c r="AA31" s="52">
        <f t="shared" si="4"/>
        <v>0</v>
      </c>
      <c r="AB31" s="52">
        <f t="shared" si="0"/>
        <v>-1</v>
      </c>
    </row>
    <row r="32" spans="13:28" ht="11.25">
      <c r="M32" s="2"/>
      <c r="N32" s="5">
        <f t="shared" si="5"/>
        <v>93</v>
      </c>
      <c r="O32" s="6">
        <f t="shared" si="1"/>
        <v>0.8779207066938645</v>
      </c>
      <c r="P32" s="6">
        <f t="shared" si="6"/>
        <v>0.028796811155252677</v>
      </c>
      <c r="Q32" s="5">
        <f t="shared" si="5"/>
        <v>29</v>
      </c>
      <c r="R32" s="6">
        <f t="shared" si="7"/>
        <v>0.057566493103417604</v>
      </c>
      <c r="Y32" s="51">
        <f t="shared" si="2"/>
        <v>30</v>
      </c>
      <c r="Z32" s="54">
        <f ca="1" t="shared" si="3"/>
        <v>0.24519617591053247</v>
      </c>
      <c r="AA32" s="52">
        <f t="shared" si="4"/>
        <v>0</v>
      </c>
      <c r="AB32" s="52">
        <f t="shared" si="0"/>
        <v>-1</v>
      </c>
    </row>
    <row r="33" spans="13:28" ht="11.25">
      <c r="M33" s="2"/>
      <c r="N33" s="5">
        <f t="shared" si="5"/>
        <v>94</v>
      </c>
      <c r="O33" s="6">
        <f t="shared" si="1"/>
        <v>0.9033971159775025</v>
      </c>
      <c r="P33" s="6">
        <f t="shared" si="6"/>
        <v>0.025476409283638035</v>
      </c>
      <c r="Q33" s="5">
        <f t="shared" si="5"/>
        <v>30</v>
      </c>
      <c r="R33" s="6">
        <f t="shared" si="7"/>
        <v>0.05650716524909985</v>
      </c>
      <c r="Y33" s="51">
        <f t="shared" si="2"/>
        <v>31</v>
      </c>
      <c r="Z33" s="54">
        <f ca="1" t="shared" si="3"/>
        <v>0.33925657271523957</v>
      </c>
      <c r="AA33" s="52">
        <f t="shared" si="4"/>
        <v>0</v>
      </c>
      <c r="AB33" s="52">
        <f t="shared" si="0"/>
        <v>-1</v>
      </c>
    </row>
    <row r="34" spans="13:28" ht="11.25">
      <c r="M34" s="2"/>
      <c r="N34" s="5">
        <f t="shared" si="5"/>
        <v>95</v>
      </c>
      <c r="O34" s="6">
        <f t="shared" si="1"/>
        <v>0.925415711226476</v>
      </c>
      <c r="P34" s="6">
        <f t="shared" si="6"/>
        <v>0.022018595248973538</v>
      </c>
      <c r="Q34" s="5">
        <f t="shared" si="5"/>
        <v>31</v>
      </c>
      <c r="R34" s="6">
        <f t="shared" si="7"/>
        <v>0.05552294636711098</v>
      </c>
      <c r="Y34" s="51">
        <f t="shared" si="2"/>
        <v>32</v>
      </c>
      <c r="Z34" s="54">
        <f ca="1" t="shared" si="3"/>
        <v>-0.38041248762980107</v>
      </c>
      <c r="AA34" s="52">
        <f t="shared" si="4"/>
        <v>0</v>
      </c>
      <c r="AB34" s="52">
        <f t="shared" si="0"/>
        <v>-1</v>
      </c>
    </row>
    <row r="35" spans="13:28" ht="11.25">
      <c r="M35" s="2"/>
      <c r="N35" s="5">
        <f t="shared" si="5"/>
        <v>96</v>
      </c>
      <c r="O35" s="6">
        <f t="shared" si="1"/>
        <v>0.9439611229283632</v>
      </c>
      <c r="P35" s="6">
        <f t="shared" si="6"/>
        <v>0.01854541170188717</v>
      </c>
      <c r="Q35" s="5">
        <f t="shared" si="5"/>
        <v>32</v>
      </c>
      <c r="R35" s="6">
        <f t="shared" si="7"/>
        <v>0.0546067406511836</v>
      </c>
      <c r="Y35" s="51">
        <f t="shared" si="2"/>
        <v>33</v>
      </c>
      <c r="Z35" s="54">
        <f ca="1" t="shared" si="3"/>
        <v>0.13535559128271415</v>
      </c>
      <c r="AA35" s="52">
        <f t="shared" si="4"/>
        <v>0</v>
      </c>
      <c r="AB35" s="52">
        <f t="shared" si="0"/>
        <v>-1</v>
      </c>
    </row>
    <row r="36" spans="13:28" ht="11.25">
      <c r="M36" s="2"/>
      <c r="N36" s="5">
        <f t="shared" si="5"/>
        <v>97</v>
      </c>
      <c r="O36" s="6">
        <f t="shared" si="1"/>
        <v>0.9591423209819201</v>
      </c>
      <c r="P36" s="6">
        <f t="shared" si="6"/>
        <v>0.015181198053556888</v>
      </c>
      <c r="Q36" s="5">
        <f t="shared" si="5"/>
        <v>33</v>
      </c>
      <c r="R36" s="6">
        <f t="shared" si="7"/>
        <v>0.05375231120880516</v>
      </c>
      <c r="Y36" s="51">
        <f t="shared" si="2"/>
        <v>34</v>
      </c>
      <c r="Z36" s="54">
        <f ca="1" t="shared" si="3"/>
        <v>0.12630503897511516</v>
      </c>
      <c r="AA36" s="52">
        <f t="shared" si="4"/>
        <v>0</v>
      </c>
      <c r="AB36" s="52">
        <f t="shared" si="0"/>
        <v>-1</v>
      </c>
    </row>
    <row r="37" spans="13:28" ht="11.25">
      <c r="M37" s="2"/>
      <c r="N37" s="5">
        <f t="shared" si="5"/>
        <v>98</v>
      </c>
      <c r="O37" s="6">
        <f t="shared" si="1"/>
        <v>0.971184453814358</v>
      </c>
      <c r="P37" s="6">
        <f t="shared" si="6"/>
        <v>0.012042132832437935</v>
      </c>
      <c r="Q37" s="5">
        <f t="shared" si="5"/>
        <v>34</v>
      </c>
      <c r="R37" s="6">
        <f t="shared" si="7"/>
        <v>0.052954153794754585</v>
      </c>
      <c r="Y37" s="51">
        <f t="shared" si="2"/>
        <v>35</v>
      </c>
      <c r="Z37" s="54">
        <f ca="1" t="shared" si="3"/>
        <v>0.22995895642437972</v>
      </c>
      <c r="AA37" s="52">
        <f t="shared" si="4"/>
        <v>0</v>
      </c>
      <c r="AB37" s="52">
        <f t="shared" si="0"/>
        <v>103.79075698520165</v>
      </c>
    </row>
    <row r="38" spans="13:28" ht="11.25">
      <c r="M38" s="2"/>
      <c r="N38" s="5">
        <f t="shared" si="5"/>
        <v>99</v>
      </c>
      <c r="O38" s="6">
        <f t="shared" si="1"/>
        <v>0.9804101467592283</v>
      </c>
      <c r="P38" s="6">
        <f t="shared" si="6"/>
        <v>0.0092256929448703</v>
      </c>
      <c r="Q38" s="5">
        <f t="shared" si="5"/>
        <v>35</v>
      </c>
      <c r="R38" s="6">
        <f t="shared" si="7"/>
        <v>0.0522073921907561</v>
      </c>
      <c r="Y38" s="51">
        <f t="shared" si="2"/>
        <v>36</v>
      </c>
      <c r="Z38" s="54">
        <f ca="1" t="shared" si="3"/>
        <v>0.15365519311657408</v>
      </c>
      <c r="AA38" s="52">
        <f t="shared" si="4"/>
        <v>0</v>
      </c>
      <c r="AB38" s="52">
        <f t="shared" si="0"/>
        <v>-1</v>
      </c>
    </row>
    <row r="39" spans="13:28" ht="11.25">
      <c r="M39" s="2"/>
      <c r="N39" s="5">
        <f t="shared" si="5"/>
        <v>100</v>
      </c>
      <c r="O39" s="6">
        <f t="shared" si="1"/>
        <v>0.9872118029903978</v>
      </c>
      <c r="P39" s="6">
        <f t="shared" si="6"/>
        <v>0.006801656231169462</v>
      </c>
      <c r="Q39" s="5">
        <f t="shared" si="5"/>
        <v>36</v>
      </c>
      <c r="R39" s="6">
        <f t="shared" si="7"/>
        <v>0.0515076910222171</v>
      </c>
      <c r="Y39" s="51">
        <f t="shared" si="2"/>
        <v>37</v>
      </c>
      <c r="Z39" s="54">
        <f ca="1" t="shared" si="3"/>
        <v>0.21947714367328444</v>
      </c>
      <c r="AA39" s="52">
        <f t="shared" si="4"/>
        <v>0</v>
      </c>
      <c r="AB39" s="52">
        <f t="shared" si="0"/>
        <v>-1</v>
      </c>
    </row>
    <row r="40" spans="13:28" ht="11.25">
      <c r="M40" s="2"/>
      <c r="N40" s="5">
        <f t="shared" si="5"/>
        <v>101</v>
      </c>
      <c r="O40" s="6">
        <f t="shared" si="1"/>
        <v>0.9920180776148868</v>
      </c>
      <c r="P40" s="6">
        <f t="shared" si="6"/>
        <v>0.004806274624489015</v>
      </c>
      <c r="Q40" s="5">
        <f t="shared" si="5"/>
        <v>37</v>
      </c>
      <c r="R40" s="6">
        <f t="shared" si="7"/>
        <v>0.050851182713079375</v>
      </c>
      <c r="Y40" s="51">
        <f t="shared" si="2"/>
        <v>38</v>
      </c>
      <c r="Z40" s="54">
        <f ca="1" t="shared" si="3"/>
        <v>0.19140684025827795</v>
      </c>
      <c r="AA40" s="52">
        <f t="shared" si="4"/>
        <v>0</v>
      </c>
      <c r="AB40" s="52">
        <f t="shared" si="0"/>
        <v>-1</v>
      </c>
    </row>
    <row r="41" spans="13:28" ht="11.25">
      <c r="M41" s="2"/>
      <c r="N41" s="5">
        <f t="shared" si="5"/>
        <v>102</v>
      </c>
      <c r="O41" s="6">
        <f t="shared" si="1"/>
        <v>0.9952589230454171</v>
      </c>
      <c r="P41" s="6">
        <f t="shared" si="6"/>
        <v>0.0032408454305302703</v>
      </c>
      <c r="Q41" s="5">
        <f t="shared" si="5"/>
        <v>38</v>
      </c>
      <c r="R41" s="6">
        <f t="shared" si="7"/>
        <v>0.05023440597433339</v>
      </c>
      <c r="Y41" s="51">
        <f t="shared" si="2"/>
        <v>39</v>
      </c>
      <c r="Z41" s="54">
        <f ca="1" t="shared" si="3"/>
        <v>0.22324518022272968</v>
      </c>
      <c r="AA41" s="52">
        <f t="shared" si="4"/>
        <v>0</v>
      </c>
      <c r="AB41" s="52">
        <f t="shared" si="0"/>
        <v>-1</v>
      </c>
    </row>
    <row r="42" spans="13:28" ht="11.25">
      <c r="M42" s="2"/>
      <c r="N42" s="5">
        <f t="shared" si="5"/>
        <v>103</v>
      </c>
      <c r="O42" s="6">
        <f t="shared" si="1"/>
        <v>0.9973340399335399</v>
      </c>
      <c r="P42" s="6">
        <f t="shared" si="6"/>
        <v>0.0020751168881227855</v>
      </c>
      <c r="Q42" s="5">
        <f t="shared" si="5"/>
        <v>39</v>
      </c>
      <c r="R42" s="6">
        <f t="shared" si="7"/>
        <v>0.0496542537559922</v>
      </c>
      <c r="Y42" s="51">
        <f t="shared" si="2"/>
        <v>40</v>
      </c>
      <c r="Z42" s="54">
        <f ca="1" t="shared" si="3"/>
        <v>0.2316918848917703</v>
      </c>
      <c r="AA42" s="52">
        <f t="shared" si="4"/>
        <v>0</v>
      </c>
      <c r="AB42" s="52">
        <f t="shared" si="0"/>
        <v>-1</v>
      </c>
    </row>
    <row r="43" spans="13:28" ht="11.25">
      <c r="M43" s="2"/>
      <c r="N43" s="5">
        <f t="shared" si="5"/>
        <v>104</v>
      </c>
      <c r="O43" s="6">
        <f t="shared" si="1"/>
        <v>0.9985889737663239</v>
      </c>
      <c r="P43" s="6">
        <f t="shared" si="6"/>
        <v>0.0012549338327840776</v>
      </c>
      <c r="Q43" s="5">
        <f t="shared" si="5"/>
        <v>40</v>
      </c>
      <c r="R43" s="6">
        <f t="shared" si="7"/>
        <v>0.04910792900636354</v>
      </c>
      <c r="Y43" s="51">
        <f t="shared" si="2"/>
        <v>41</v>
      </c>
      <c r="Z43" s="54">
        <f ca="1" t="shared" si="3"/>
        <v>0.21264877113921102</v>
      </c>
      <c r="AA43" s="52">
        <f t="shared" si="4"/>
        <v>0</v>
      </c>
      <c r="AB43" s="52">
        <f t="shared" si="0"/>
        <v>-1</v>
      </c>
    </row>
    <row r="44" spans="13:28" ht="11.25">
      <c r="M44" s="2"/>
      <c r="N44" s="5">
        <f t="shared" si="5"/>
        <v>105</v>
      </c>
      <c r="O44" s="6">
        <f t="shared" si="1"/>
        <v>0.999301516967344</v>
      </c>
      <c r="P44" s="6">
        <f t="shared" si="6"/>
        <v>0.0007125432010200994</v>
      </c>
      <c r="Q44" s="5">
        <f t="shared" si="5"/>
        <v>41</v>
      </c>
      <c r="R44" s="6">
        <f t="shared" si="7"/>
        <v>0.04859290690561239</v>
      </c>
      <c r="Y44" s="51">
        <f t="shared" si="2"/>
        <v>42</v>
      </c>
      <c r="Z44" s="54">
        <f ca="1" t="shared" si="3"/>
        <v>0.07709972715005278</v>
      </c>
      <c r="AA44" s="52">
        <f t="shared" si="4"/>
        <v>0</v>
      </c>
      <c r="AB44" s="52">
        <f t="shared" si="0"/>
        <v>-1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2003-03-02T14:26:59Z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