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795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<sst xmlns="http://schemas.openxmlformats.org/spreadsheetml/2006/main" count="28" uniqueCount="25">
  <si>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Inflation =</t>
  </si>
  <si>
    <t>Mean Return =</t>
  </si>
  <si>
    <t>Volatility =</t>
  </si>
  <si>
    <t>Withdrawal Rate =</t>
  </si>
  <si>
    <t>Random</t>
  </si>
  <si>
    <t>Returns</t>
  </si>
  <si>
    <t>Portfolio</t>
  </si>
  <si>
    <t>Withdrawals</t>
  </si>
  <si>
    <t>Year</t>
  </si>
  <si>
    <t>Years =</t>
  </si>
  <si>
    <t>40 year Sam</t>
  </si>
  <si>
    <t>30 year Sally</t>
  </si>
  <si>
    <t>press F9</t>
  </si>
  <si>
    <r>
      <t>Note</t>
    </r>
    <r>
      <rPr>
        <sz val="8"/>
        <rFont val="Arial Black"/>
        <family val="2"/>
      </rPr>
      <t>:</t>
    </r>
  </si>
  <si>
    <t>Sam, noting that  Monte Carlo analysis indicates that a 4% withdrawal rate is safe,</t>
  </si>
  <si>
    <t>starts withdrawing at this rate, starting with a $1M portfolio. That's $40K (initially.)</t>
  </si>
  <si>
    <t>Since Sam's portolio is (almost) guaranteed to last 40 years (according to Monte carlo)</t>
  </si>
  <si>
    <t>His withdrawals increase with inflation.</t>
  </si>
  <si>
    <t>Is that safe?</t>
  </si>
  <si>
    <t>***</t>
  </si>
  <si>
    <t xml:space="preserve">See explanation here   </t>
  </si>
  <si>
    <t>Annualized Return =</t>
  </si>
  <si>
    <t>Annual Withdrawal Factor =</t>
  </si>
  <si>
    <t>See</t>
  </si>
  <si>
    <t>http://home.golden.net/~pjponzo/Sam-Sally.htm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</si>
</sst>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0.0%"/>
    <numFmt numFmtId="167" formatCode="&quot;$&quot;#,##0.0"/>
    <numFmt numFmtId="168" formatCode="0.00000%"/>
    <numFmt numFmtId="169" formatCode="0.000"/>
  </numFmts>
  <fonts count="9">
    <font>
      <sz val="8"/>
      <name val="Arial"/>
      <family val="0"/>
    </font>
    <font>
      <sz val="7"/>
      <name val="Arial"/>
      <family val="2"/>
    </font>
    <font>
      <sz val="8.5"/>
      <name val="Arial"/>
      <family val="0"/>
    </font>
    <font>
      <b/>
      <sz val="8"/>
      <name val="Arial"/>
      <family val="2"/>
    </font>
    <font>
      <sz val="8"/>
      <name val="Arial Black"/>
      <family val="2"/>
    </font>
    <font>
      <u val="single"/>
      <sz val="8"/>
      <name val="Arial Black"/>
      <family val="2"/>
    </font>
    <font>
      <b/>
      <sz val="8"/>
      <color indexed="10"/>
      <name val="Arial Black"/>
      <family val="2"/>
    </font>
    <font>
      <sz val="6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166" fontId="3" fillId="3" borderId="20" xfId="0" applyNumberFormat="1" applyFont="1" applyFill="1" applyBorder="1" applyAlignment="1">
      <alignment horizontal="center" vertical="center"/>
    </xf>
    <xf numFmtId="166" fontId="3" fillId="3" borderId="21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6" xfId="0" applyFill="1" applyBorder="1" applyAlignment="1">
      <alignment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right" vertical="center"/>
    </xf>
    <xf numFmtId="10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2" borderId="0" xfId="0" applyFill="1" applyAlignment="1">
      <alignment/>
    </xf>
    <xf numFmtId="164" fontId="0" fillId="2" borderId="0" xfId="0" applyNumberFormat="1" applyFont="1" applyFill="1" applyAlignment="1">
      <alignment/>
    </xf>
    <xf numFmtId="0" fontId="3" fillId="3" borderId="25" xfId="0" applyFont="1" applyFill="1" applyBorder="1" applyAlignment="1">
      <alignment horizontal="right" vertical="center"/>
    </xf>
    <xf numFmtId="0" fontId="8" fillId="3" borderId="2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4"/>
              <c:spPr>
                <a:solidFill>
                  <a:srgbClr val="00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Test!$A$3:$A$42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Test!$C$3:$C$42</c:f>
              <c:numCache>
                <c:ptCount val="40"/>
                <c:pt idx="0">
                  <c:v>960000</c:v>
                </c:pt>
                <c:pt idx="1">
                  <c:v>718258.9732943103</c:v>
                </c:pt>
                <c:pt idx="2">
                  <c:v>765746.1045434404</c:v>
                </c:pt>
                <c:pt idx="3">
                  <c:v>931604.3230430764</c:v>
                </c:pt>
                <c:pt idx="4">
                  <c:v>832919.5694799174</c:v>
                </c:pt>
                <c:pt idx="5">
                  <c:v>1042300.383296928</c:v>
                </c:pt>
                <c:pt idx="6">
                  <c:v>1222500.0555621933</c:v>
                </c:pt>
                <c:pt idx="7">
                  <c:v>1148757.3593284602</c:v>
                </c:pt>
                <c:pt idx="8">
                  <c:v>2140657.602351917</c:v>
                </c:pt>
                <c:pt idx="9">
                  <c:v>2538407.8347545653</c:v>
                </c:pt>
                <c:pt idx="10">
                  <c:v>2765057.3082265183</c:v>
                </c:pt>
                <c:pt idx="11">
                  <c:v>2656876.184826745</c:v>
                </c:pt>
                <c:pt idx="12">
                  <c:v>3131142.344692502</c:v>
                </c:pt>
                <c:pt idx="13">
                  <c:v>3078374.0871493495</c:v>
                </c:pt>
                <c:pt idx="14">
                  <c:v>2910631.64453036</c:v>
                </c:pt>
                <c:pt idx="15">
                  <c:v>5044621.18434142</c:v>
                </c:pt>
                <c:pt idx="16">
                  <c:v>4758981.20924793</c:v>
                </c:pt>
                <c:pt idx="17">
                  <c:v>5075263.955357996</c:v>
                </c:pt>
                <c:pt idx="18">
                  <c:v>4848036.304897559</c:v>
                </c:pt>
                <c:pt idx="19">
                  <c:v>6961187.362885251</c:v>
                </c:pt>
                <c:pt idx="20">
                  <c:v>7662831.135258845</c:v>
                </c:pt>
                <c:pt idx="21">
                  <c:v>7727961.981760873</c:v>
                </c:pt>
                <c:pt idx="22">
                  <c:v>10506565.427960165</c:v>
                </c:pt>
                <c:pt idx="23">
                  <c:v>11828485.683508854</c:v>
                </c:pt>
                <c:pt idx="24">
                  <c:v>9072171.964704318</c:v>
                </c:pt>
                <c:pt idx="25">
                  <c:v>11566333.99038753</c:v>
                </c:pt>
                <c:pt idx="26">
                  <c:v>10307217.98205914</c:v>
                </c:pt>
                <c:pt idx="27">
                  <c:v>11414010.800472943</c:v>
                </c:pt>
                <c:pt idx="28">
                  <c:v>11136352.297762178</c:v>
                </c:pt>
                <c:pt idx="29">
                  <c:v>8887160.891364217</c:v>
                </c:pt>
                <c:pt idx="30">
                  <c:v>6252994.612875216</c:v>
                </c:pt>
                <c:pt idx="31">
                  <c:v>9431671.931043917</c:v>
                </c:pt>
                <c:pt idx="32">
                  <c:v>8829494.080394434</c:v>
                </c:pt>
                <c:pt idx="33">
                  <c:v>7649946.956153466</c:v>
                </c:pt>
                <c:pt idx="34">
                  <c:v>8409685.866110334</c:v>
                </c:pt>
                <c:pt idx="35">
                  <c:v>4869124.29356648</c:v>
                </c:pt>
                <c:pt idx="36">
                  <c:v>5170300.347489549</c:v>
                </c:pt>
                <c:pt idx="37">
                  <c:v>4875759.649715326</c:v>
                </c:pt>
                <c:pt idx="38">
                  <c:v>5695685.913331542</c:v>
                </c:pt>
                <c:pt idx="39">
                  <c:v>7690934.96502704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Test!$F$3:$F$32</c:f>
              <c:numCache>
                <c:ptCount val="30"/>
                <c:pt idx="0">
                  <c:v>562011.1600104858</c:v>
                </c:pt>
                <c:pt idx="1">
                  <c:v>403574.59801823297</c:v>
                </c:pt>
                <c:pt idx="2">
                  <c:v>412023.7718803893</c:v>
                </c:pt>
                <c:pt idx="3">
                  <c:v>481658.6152040084</c:v>
                </c:pt>
                <c:pt idx="4">
                  <c:v>409724.8679444004</c:v>
                </c:pt>
                <c:pt idx="5">
                  <c:v>490283.52319836477</c:v>
                </c:pt>
                <c:pt idx="6">
                  <c:v>551189.6741592587</c:v>
                </c:pt>
                <c:pt idx="7">
                  <c:v>492710.16985994094</c:v>
                </c:pt>
                <c:pt idx="8">
                  <c:v>891378.1564007081</c:v>
                </c:pt>
                <c:pt idx="9">
                  <c:v>1029104.8462102079</c:v>
                </c:pt>
                <c:pt idx="10">
                  <c:v>1091999.7019975309</c:v>
                </c:pt>
                <c:pt idx="11">
                  <c:v>1019182.6838195513</c:v>
                </c:pt>
                <c:pt idx="12">
                  <c:v>1169842.3969655165</c:v>
                </c:pt>
                <c:pt idx="13">
                  <c:v>1117715.5526423347</c:v>
                </c:pt>
                <c:pt idx="14">
                  <c:v>1023194.8021967954</c:v>
                </c:pt>
                <c:pt idx="15">
                  <c:v>1738461.3147154544</c:v>
                </c:pt>
                <c:pt idx="16">
                  <c:v>1604036.948213588</c:v>
                </c:pt>
                <c:pt idx="17">
                  <c:v>1673510.192827114</c:v>
                </c:pt>
                <c:pt idx="18">
                  <c:v>1560292.540296627</c:v>
                </c:pt>
                <c:pt idx="19">
                  <c:v>2200871.2742499346</c:v>
                </c:pt>
                <c:pt idx="20">
                  <c:v>2382059.3942911355</c:v>
                </c:pt>
                <c:pt idx="21">
                  <c:v>2360525.5809755675</c:v>
                </c:pt>
                <c:pt idx="22">
                  <c:v>3166306.7981250794</c:v>
                </c:pt>
                <c:pt idx="23">
                  <c:v>3520619.649451542</c:v>
                </c:pt>
                <c:pt idx="24">
                  <c:v>2655044.819322311</c:v>
                </c:pt>
                <c:pt idx="25">
                  <c:v>3338562.8234438864</c:v>
                </c:pt>
                <c:pt idx="26">
                  <c:v>2927509.6797061744</c:v>
                </c:pt>
                <c:pt idx="27">
                  <c:v>3192983.22668896</c:v>
                </c:pt>
                <c:pt idx="28">
                  <c:v>3065150.925876187</c:v>
                </c:pt>
                <c:pt idx="29">
                  <c:v>2394604.688997759</c:v>
                </c:pt>
              </c:numCache>
            </c:numRef>
          </c:val>
          <c:smooth val="0"/>
        </c:ser>
        <c:marker val="1"/>
        <c:axId val="65455864"/>
        <c:axId val="52231865"/>
      </c:lineChart>
      <c:catAx>
        <c:axId val="654558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31865"/>
        <c:crosses val="autoZero"/>
        <c:auto val="1"/>
        <c:lblOffset val="100"/>
        <c:noMultiLvlLbl val="0"/>
      </c:catAx>
      <c:valAx>
        <c:axId val="52231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4558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475"/>
          <c:w val="0.9965"/>
          <c:h val="0.9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Test!$Y$5:$Y$44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Test!$Z$5:$Z$44</c:f>
              <c:numCache>
                <c:ptCount val="40"/>
                <c:pt idx="0">
                  <c:v>1018750</c:v>
                </c:pt>
                <c:pt idx="1">
                  <c:v>1037754.5625000002</c:v>
                </c:pt>
                <c:pt idx="2">
                  <c:v>1056960.9465718751</c:v>
                </c:pt>
                <c:pt idx="3">
                  <c:v>1076307.9021172086</c:v>
                </c:pt>
                <c:pt idx="4">
                  <c:v>1095724.737508074</c:v>
                </c:pt>
                <c:pt idx="5">
                  <c:v>1115130.2978885106</c:v>
                </c:pt>
                <c:pt idx="6">
                  <c:v>1134431.8461255408</c:v>
                </c:pt>
                <c:pt idx="7">
                  <c:v>1153523.8377071403</c:v>
                </c:pt>
                <c:pt idx="8">
                  <c:v>1172286.5801348502</c:v>
                </c:pt>
                <c:pt idx="9">
                  <c:v>1190584.766545909</c:v>
                </c:pt>
                <c:pt idx="10">
                  <c:v>1208265.8724186313</c:v>
                </c:pt>
                <c:pt idx="11">
                  <c:v>1225158.403259615</c:v>
                </c:pt>
                <c:pt idx="12">
                  <c:v>1241069.9801361049</c:v>
                </c:pt>
                <c:pt idx="13">
                  <c:v>1255785.2487948367</c:v>
                </c:pt>
                <c:pt idx="14">
                  <c:v>1269063.5968927783</c:v>
                </c:pt>
                <c:pt idx="15">
                  <c:v>1280636.662547618</c:v>
                </c:pt>
                <c:pt idx="16">
                  <c:v>1290205.6159882208</c:v>
                </c:pt>
                <c:pt idx="17">
                  <c:v>1297438.19453852</c:v>
                </c:pt>
                <c:pt idx="18">
                  <c:v>1301965.4694926324</c:v>
                </c:pt>
                <c:pt idx="19">
                  <c:v>1303378.3216237198</c:v>
                </c:pt>
                <c:pt idx="20">
                  <c:v>1301223.6001028204</c:v>
                </c:pt>
                <c:pt idx="21">
                  <c:v>1294999.9374741092</c:v>
                </c:pt>
                <c:pt idx="22">
                  <c:v>1284153.191026365</c:v>
                </c:pt>
                <c:pt idx="23">
                  <c:v>1268071.4784023268</c:v>
                </c:pt>
                <c:pt idx="24">
                  <c:v>1246079.7725823247</c:v>
                </c:pt>
                <c:pt idx="25">
                  <c:v>1217434.0184491933</c:v>
                </c:pt>
                <c:pt idx="26">
                  <c:v>1181314.7299695117</c:v>
                </c:pt>
                <c:pt idx="27">
                  <c:v>1136820.0235918416</c:v>
                </c:pt>
                <c:pt idx="28">
                  <c:v>1082958.039744421</c:v>
                </c:pt>
                <c:pt idx="29">
                  <c:v>1018638.700289309</c:v>
                </c:pt>
                <c:pt idx="30">
                  <c:v>942664.745432321</c:v>
                </c:pt>
                <c:pt idx="31">
                  <c:v>853721.9888709523</c:v>
                </c:pt>
                <c:pt idx="32">
                  <c:v>750368.724856439</c:v>
                </c:pt>
                <c:pt idx="33">
                  <c:v>631024.2153195348</c:v>
                </c:pt>
                <c:pt idx="34">
                  <c:v>493956.17922796775</c:v>
                </c:pt>
                <c:pt idx="35">
                  <c:v>337267.1998698497</c:v>
                </c:pt>
                <c:pt idx="36">
                  <c:v>158879.9587512873</c:v>
                </c:pt>
                <c:pt idx="37">
                  <c:v>-43478.80278517865</c:v>
                </c:pt>
                <c:pt idx="38">
                  <c:v>-272295.7013190277</c:v>
                </c:pt>
                <c:pt idx="39">
                  <c:v>-530289.6244624443</c:v>
                </c:pt>
              </c:numCache>
            </c:numRef>
          </c:val>
          <c:smooth val="0"/>
        </c:ser>
        <c:marker val="1"/>
        <c:axId val="324738"/>
        <c:axId val="2922643"/>
      </c:lineChart>
      <c:catAx>
        <c:axId val="3247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2643"/>
        <c:crosses val="autoZero"/>
        <c:auto val="1"/>
        <c:lblOffset val="100"/>
        <c:noMultiLvlLbl val="0"/>
      </c:catAx>
      <c:valAx>
        <c:axId val="2922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47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0.53625</cdr:x>
      <cdr:y>0.6015</cdr:y>
    </cdr:from>
    <cdr:to>
      <cdr:x>0.557</cdr:x>
      <cdr:y>0.69375</cdr:y>
    </cdr:to>
    <cdr:sp textlink="Test!$M$27">
      <cdr:nvSpPr>
        <cdr:cNvPr id="1" name="TextBox 1"/>
        <cdr:cNvSpPr txBox="1">
          <a:spLocks noChangeArrowheads="1"/>
        </cdr:cNvSpPr>
      </cdr:nvSpPr>
      <cdr:spPr>
        <a:xfrm>
          <a:off x="1962150" y="123825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f7b00402-8f57-4e7a-8fcd-c2ea611e3e4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0.2325</cdr:x>
      <cdr:y>0</cdr:y>
    </cdr:from>
    <cdr:to>
      <cdr:x>0.476</cdr:x>
      <cdr:y>0.09225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895350" cy="1905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Sam's portfolio</a:t>
          </a:r>
        </a:p>
      </cdr:txBody>
    </cdr:sp>
  </cdr:relSizeAnchor>
  <cdr:relSizeAnchor xmlns:cdr="http://schemas.openxmlformats.org/drawingml/2006/chartDrawing">
    <cdr:from>
      <cdr:x>0.2315</cdr:x>
      <cdr:y>0.127</cdr:y>
    </cdr:from>
    <cdr:to>
      <cdr:x>0.4775</cdr:x>
      <cdr:y>0.21925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" y="257175"/>
          <a:ext cx="904875" cy="190500"/>
        </a:xfrm>
        <a:prstGeom prst="rect">
          <a:avLst/>
        </a:prstGeom>
        <a:solidFill>
          <a:srgbClr val="FFFFFF"/>
        </a:solidFill>
        <a:ln w="19050" cmpd="sng">
          <a:solidFill>
            <a:srgbClr val="FF66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Sally's portfolio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66675</xdr:rowOff>
    </xdr:from>
    <xdr:to>
      <xdr:col>13</xdr:col>
      <xdr:colOff>361950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371850" y="895350"/>
        <a:ext cx="36766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504825</xdr:colOff>
      <xdr:row>4</xdr:row>
      <xdr:rowOff>85725</xdr:rowOff>
    </xdr:from>
    <xdr:to>
      <xdr:col>13</xdr:col>
      <xdr:colOff>438150</xdr:colOff>
      <xdr:row>4</xdr:row>
      <xdr:rowOff>85725</xdr:rowOff>
    </xdr:to>
    <xdr:sp>
      <xdr:nvSpPr>
        <xdr:cNvPr id="2" name="Line 6"/>
        <xdr:cNvSpPr>
          <a:spLocks/>
        </xdr:cNvSpPr>
      </xdr:nvSpPr>
      <xdr:spPr>
        <a:xfrm>
          <a:off x="6657975" y="742950"/>
          <a:ext cx="466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28575</xdr:rowOff>
    </xdr:from>
    <xdr:to>
      <xdr:col>23</xdr:col>
      <xdr:colOff>914400</xdr:colOff>
      <xdr:row>18</xdr:row>
      <xdr:rowOff>28575</xdr:rowOff>
    </xdr:to>
    <xdr:graphicFrame>
      <xdr:nvGraphicFramePr>
        <xdr:cNvPr id="3" name="Chart 7"/>
        <xdr:cNvGraphicFramePr/>
      </xdr:nvGraphicFramePr>
      <xdr:xfrm>
        <a:off x="12839700" y="685800"/>
        <a:ext cx="26955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 topLeftCell="A1">
      <selection activeCell="J6" sqref="J6"/>
    </sheetView>
  </sheetViews>
  <sheetFormatPr defaultColWidth="9.33203125" defaultRowHeight="11.25"/>
  <cols>
    <col min="1" max="1" width="4.66015625" style="5" customWidth="1"/>
    <col min="2" max="2" width="6.83203125" style="2" customWidth="1"/>
    <col min="3" max="3" width="12.66015625" style="4" bestFit="1" customWidth="1"/>
    <col min="4" max="4" width="9.33203125" style="5" customWidth="1"/>
    <col min="5" max="5" width="0.82421875" style="5" customWidth="1"/>
    <col min="6" max="6" width="14.66015625" style="4" customWidth="1"/>
    <col min="7" max="7" width="9.33203125" style="5" customWidth="1"/>
    <col min="8" max="8" width="12" style="0" customWidth="1"/>
    <col min="14" max="14" width="8.5" style="0" customWidth="1"/>
    <col min="16" max="16" width="3.83203125" style="0" customWidth="1"/>
    <col min="18" max="18" width="4.33203125" style="0" customWidth="1"/>
    <col min="19" max="19" width="25.5" style="0" customWidth="1"/>
    <col min="20" max="20" width="4.16015625" style="0" customWidth="1"/>
    <col min="21" max="21" width="33.33203125" style="0" customWidth="1"/>
    <col min="23" max="23" width="31.16015625" style="48" customWidth="1"/>
    <col min="24" max="24" width="16.33203125" style="49" bestFit="1" customWidth="1"/>
    <col min="25" max="25" width="4" style="0" customWidth="1"/>
    <col min="26" max="26" width="10.16015625" style="1" bestFit="1" customWidth="1"/>
  </cols>
  <sheetData>
    <row r="1" spans="3:21" ht="13.5" thickTop="1">
      <c r="C1" s="7" t="s">
        <v>10</v>
      </c>
      <c r="E1" s="6"/>
      <c r="F1" s="8" t="s">
        <v>11</v>
      </c>
      <c r="H1" s="9"/>
      <c r="I1" s="10" t="s">
        <v>1</v>
      </c>
      <c r="J1" s="30">
        <v>0.09</v>
      </c>
      <c r="M1" s="3" t="str">
        <f>TEXT(J5,"0")&amp;" years of Sam's withdrawals ="</f>
        <v>10 years of Sam's withdrawals =</v>
      </c>
      <c r="N1" s="4">
        <f>SUM(D3:INDEX(D3:D42,J5))</f>
        <v>437988.8399895142</v>
      </c>
      <c r="P1" s="34"/>
      <c r="Q1" s="57" t="s">
        <v>23</v>
      </c>
      <c r="R1" s="58" t="s">
        <v>24</v>
      </c>
      <c r="S1" s="35"/>
      <c r="T1" s="35"/>
      <c r="U1" s="36"/>
    </row>
    <row r="2" spans="1:24" ht="13.5" thickBot="1">
      <c r="A2" s="5" t="s">
        <v>8</v>
      </c>
      <c r="B2" s="2" t="s">
        <v>4</v>
      </c>
      <c r="C2" s="4" t="s">
        <v>6</v>
      </c>
      <c r="D2" s="5" t="s">
        <v>7</v>
      </c>
      <c r="E2" s="6"/>
      <c r="F2" s="4" t="s">
        <v>6</v>
      </c>
      <c r="G2" s="5" t="s">
        <v>7</v>
      </c>
      <c r="H2" s="11"/>
      <c r="I2" s="12" t="s">
        <v>2</v>
      </c>
      <c r="J2" s="31">
        <v>0.25</v>
      </c>
      <c r="N2" s="1"/>
      <c r="P2" s="37"/>
      <c r="Q2" s="38" t="s">
        <v>13</v>
      </c>
      <c r="R2" s="39"/>
      <c r="S2" s="39"/>
      <c r="T2" s="39"/>
      <c r="U2" s="40"/>
      <c r="W2" s="50" t="s">
        <v>21</v>
      </c>
      <c r="X2" s="51">
        <f>J1-J2^2/2</f>
        <v>0.05875</v>
      </c>
    </row>
    <row r="3" spans="1:24" ht="13.5" thickBot="1">
      <c r="A3" s="5">
        <v>1</v>
      </c>
      <c r="B3" s="2" t="s">
        <v>5</v>
      </c>
      <c r="C3" s="4">
        <f>1000000-$D3</f>
        <v>960000</v>
      </c>
      <c r="D3" s="4">
        <f>$J$4*1000000</f>
        <v>40000</v>
      </c>
      <c r="E3" s="6"/>
      <c r="F3" s="4">
        <f>1000000-N1</f>
        <v>562011.1600104858</v>
      </c>
      <c r="G3" s="4">
        <f>INDEX(D3:D42,J5+1)</f>
        <v>48759.776799790285</v>
      </c>
      <c r="H3" s="11"/>
      <c r="I3" s="12" t="s">
        <v>0</v>
      </c>
      <c r="J3" s="31">
        <v>0.02</v>
      </c>
      <c r="L3" s="33" t="s">
        <v>12</v>
      </c>
      <c r="P3" s="37"/>
      <c r="Q3" s="39" t="s">
        <v>14</v>
      </c>
      <c r="R3" s="39"/>
      <c r="S3" s="39"/>
      <c r="T3" s="39"/>
      <c r="U3" s="40"/>
      <c r="W3" s="50" t="s">
        <v>22</v>
      </c>
      <c r="X3" s="53">
        <f>(1+X2)*(1+J3)</f>
        <v>1.079925</v>
      </c>
    </row>
    <row r="4" spans="1:24" ht="11.25">
      <c r="A4" s="5">
        <f>1+A3</f>
        <v>2</v>
      </c>
      <c r="B4" s="2">
        <f aca="true" ca="1" t="shared" si="0" ref="B4:B42">NORMINV(RAND(),$J$1,$J$2)</f>
        <v>-0.11556484514600016</v>
      </c>
      <c r="C4" s="4">
        <f aca="true" t="shared" si="1" ref="C4:C42">C3*(1+$B4)-$D4</f>
        <v>808257.7486598399</v>
      </c>
      <c r="D4" s="4">
        <f aca="true" t="shared" si="2" ref="D4:D42">D3*(1+$J$3)</f>
        <v>40800</v>
      </c>
      <c r="E4" s="6"/>
      <c r="F4" s="4">
        <f>IF(A4&gt;$J$7,"",F3*(1+$B4)-$D4)</f>
        <v>456262.42733355006</v>
      </c>
      <c r="G4" s="4">
        <f aca="true" t="shared" si="3" ref="G4:G31">IF(F4="","",G3*(1+$J$3))</f>
        <v>49734.97233578609</v>
      </c>
      <c r="H4" s="11"/>
      <c r="I4" s="12" t="s">
        <v>3</v>
      </c>
      <c r="J4" s="31">
        <v>0.04</v>
      </c>
      <c r="P4" s="37"/>
      <c r="Q4" s="39" t="s">
        <v>15</v>
      </c>
      <c r="R4" s="39"/>
      <c r="S4" s="39"/>
      <c r="T4" s="39"/>
      <c r="U4" s="40"/>
      <c r="W4" s="50" t="str">
        <f>"Median Portfolio after "&amp;TEXT(J5,"0")&amp;" years ="</f>
        <v>Median Portfolio after 10 years =</v>
      </c>
      <c r="X4" s="52">
        <f>1000000*(1+X2)^J5-D3*(X3^J5-1)/(X3-1)</f>
        <v>1190584.766545909</v>
      </c>
    </row>
    <row r="5" spans="1:26" ht="13.5" thickBot="1">
      <c r="A5" s="5">
        <f aca="true" t="shared" si="4" ref="A5:A42">1+A4</f>
        <v>3</v>
      </c>
      <c r="B5" s="2">
        <f ca="1" t="shared" si="0"/>
        <v>-0.2628998604451772</v>
      </c>
      <c r="C5" s="4">
        <f t="shared" si="1"/>
        <v>554150.8993334349</v>
      </c>
      <c r="D5" s="4">
        <f t="shared" si="2"/>
        <v>41616</v>
      </c>
      <c r="E5" s="6"/>
      <c r="F5" s="4">
        <f aca="true" t="shared" si="5" ref="F5:F42">IF(A5&gt;$J$7,"",F4*(1+$B5)-$D5)</f>
        <v>294695.09886118193</v>
      </c>
      <c r="G5" s="4">
        <f t="shared" si="3"/>
        <v>50729.67178250181</v>
      </c>
      <c r="H5" s="13"/>
      <c r="I5" s="14" t="s">
        <v>9</v>
      </c>
      <c r="J5" s="32">
        <v>10</v>
      </c>
      <c r="M5" s="47" t="s">
        <v>20</v>
      </c>
      <c r="P5" s="37"/>
      <c r="Q5" s="39" t="s">
        <v>17</v>
      </c>
      <c r="R5" s="39"/>
      <c r="S5" s="39"/>
      <c r="T5" s="39"/>
      <c r="U5" s="40"/>
      <c r="Y5" s="55">
        <v>1</v>
      </c>
      <c r="Z5" s="56">
        <f>1000000*(1+$X$2)^Y5-$D$3*($X$3^Y5-1)/($X$3-1)</f>
        <v>1018750</v>
      </c>
    </row>
    <row r="6" spans="1:26" ht="12" thickTop="1">
      <c r="A6" s="5">
        <f t="shared" si="4"/>
        <v>4</v>
      </c>
      <c r="B6" s="2">
        <f ca="1" t="shared" si="0"/>
        <v>0.031298938210820776</v>
      </c>
      <c r="C6" s="4">
        <f t="shared" si="1"/>
        <v>529046.914091143</v>
      </c>
      <c r="D6" s="4">
        <f t="shared" si="2"/>
        <v>42448.32</v>
      </c>
      <c r="E6" s="6"/>
      <c r="F6" s="4">
        <f t="shared" si="5"/>
        <v>261470.42255146982</v>
      </c>
      <c r="G6" s="4">
        <f t="shared" si="3"/>
        <v>51744.26521815185</v>
      </c>
      <c r="P6" s="37"/>
      <c r="Q6" s="39"/>
      <c r="R6" s="39"/>
      <c r="S6" s="39"/>
      <c r="T6" s="39"/>
      <c r="U6" s="40"/>
      <c r="X6" s="54"/>
      <c r="Y6" s="55">
        <f>1+Y5</f>
        <v>2</v>
      </c>
      <c r="Z6" s="56">
        <f aca="true" t="shared" si="6" ref="Z6:Z44">1000000*(1+$X$2)^Y6-$D$3*($X$3^Y6-1)/($X$3-1)</f>
        <v>1037754.5625000002</v>
      </c>
    </row>
    <row r="7" spans="1:26" ht="11.25">
      <c r="A7" s="5">
        <f t="shared" si="4"/>
        <v>5</v>
      </c>
      <c r="B7" s="2">
        <f ca="1" t="shared" si="0"/>
        <v>-0.19355202630336862</v>
      </c>
      <c r="C7" s="4">
        <f t="shared" si="1"/>
        <v>383351.52545925806</v>
      </c>
      <c r="D7" s="4">
        <f t="shared" si="2"/>
        <v>43297.2864</v>
      </c>
      <c r="E7" s="6"/>
      <c r="F7" s="4">
        <f t="shared" si="5"/>
        <v>167565.00604823482</v>
      </c>
      <c r="G7" s="4">
        <f t="shared" si="3"/>
        <v>52779.15052251489</v>
      </c>
      <c r="J7">
        <v>30</v>
      </c>
      <c r="P7" s="37"/>
      <c r="Q7" s="39" t="s">
        <v>16</v>
      </c>
      <c r="R7" s="39"/>
      <c r="S7" s="39"/>
      <c r="T7" s="39"/>
      <c r="U7" s="40"/>
      <c r="Y7" s="55">
        <f aca="true" t="shared" si="7" ref="Y7:Y26">1+Y6</f>
        <v>3</v>
      </c>
      <c r="Z7" s="56">
        <f t="shared" si="6"/>
        <v>1056960.9465718751</v>
      </c>
    </row>
    <row r="8" spans="1:26" ht="11.25">
      <c r="A8" s="5">
        <f t="shared" si="4"/>
        <v>6</v>
      </c>
      <c r="B8" s="2">
        <f ca="1" t="shared" si="0"/>
        <v>0.27816820102074413</v>
      </c>
      <c r="C8" s="4">
        <f t="shared" si="1"/>
        <v>445824.49752681784</v>
      </c>
      <c r="D8" s="4">
        <f t="shared" si="2"/>
        <v>44163.232127999996</v>
      </c>
      <c r="E8" s="6"/>
      <c r="F8" s="4">
        <f t="shared" si="5"/>
        <v>170013.0302067024</v>
      </c>
      <c r="G8" s="4">
        <f t="shared" si="3"/>
        <v>53834.73353296518</v>
      </c>
      <c r="P8" s="37"/>
      <c r="Q8" s="39" t="str">
        <f>"Sally figures that, after "&amp;TEXT(J5,"0")&amp;" years of withdrawals, Sam's portolio should last another "&amp;TEXT(40-J5,"0")&amp;" years."</f>
        <v>Sally figures that, after 10 years of withdrawals, Sam's portolio should last another 30 years.</v>
      </c>
      <c r="R8" s="39"/>
      <c r="S8" s="39"/>
      <c r="T8" s="39"/>
      <c r="U8" s="40"/>
      <c r="Y8" s="55">
        <f t="shared" si="7"/>
        <v>4</v>
      </c>
      <c r="Z8" s="56">
        <f t="shared" si="6"/>
        <v>1076307.9021172086</v>
      </c>
    </row>
    <row r="9" spans="1:26" ht="11.25">
      <c r="A9" s="5">
        <f t="shared" si="4"/>
        <v>7</v>
      </c>
      <c r="B9" s="2">
        <f ca="1" t="shared" si="0"/>
        <v>0.027382426651311104</v>
      </c>
      <c r="C9" s="4">
        <f t="shared" si="1"/>
        <v>412985.75735914364</v>
      </c>
      <c r="D9" s="4">
        <f t="shared" si="2"/>
        <v>45046.49677056</v>
      </c>
      <c r="E9" s="6"/>
      <c r="F9" s="4">
        <f t="shared" si="5"/>
        <v>129621.90276554458</v>
      </c>
      <c r="G9" s="4">
        <f t="shared" si="3"/>
        <v>54911.42820362449</v>
      </c>
      <c r="P9" s="37"/>
      <c r="Q9" s="39"/>
      <c r="R9" s="39"/>
      <c r="S9" s="39"/>
      <c r="T9" s="39"/>
      <c r="U9" s="40"/>
      <c r="Y9" s="55">
        <f t="shared" si="7"/>
        <v>5</v>
      </c>
      <c r="Z9" s="56">
        <f t="shared" si="6"/>
        <v>1095724.737508074</v>
      </c>
    </row>
    <row r="10" spans="1:26" ht="11.25">
      <c r="A10" s="5">
        <f t="shared" si="4"/>
        <v>8</v>
      </c>
      <c r="B10" s="2">
        <f ca="1" t="shared" si="0"/>
        <v>0.1113657358472119</v>
      </c>
      <c r="C10" s="4">
        <f t="shared" si="1"/>
        <v>413030.79341589165</v>
      </c>
      <c r="D10" s="4">
        <f t="shared" si="2"/>
        <v>45947.4267059712</v>
      </c>
      <c r="E10" s="6"/>
      <c r="F10" s="4">
        <f t="shared" si="5"/>
        <v>98109.91464297402</v>
      </c>
      <c r="G10" s="4">
        <f t="shared" si="3"/>
        <v>56009.65676769698</v>
      </c>
      <c r="P10" s="37"/>
      <c r="Q10" s="39" t="str">
        <f>"Sally, who expects to live "&amp;TEXT(J5,"0")&amp;" fewer years than Sam, starts her withdrawals at Sam's"</f>
        <v>Sally, who expects to live 10 fewer years than Sam, starts her withdrawals at Sam's</v>
      </c>
      <c r="R10" s="39"/>
      <c r="S10" s="39"/>
      <c r="T10" s="39"/>
      <c r="U10" s="40"/>
      <c r="Y10" s="55">
        <f t="shared" si="7"/>
        <v>6</v>
      </c>
      <c r="Z10" s="56">
        <f t="shared" si="6"/>
        <v>1115130.2978885106</v>
      </c>
    </row>
    <row r="11" spans="1:26" ht="11.25">
      <c r="A11" s="5">
        <f t="shared" si="4"/>
        <v>9</v>
      </c>
      <c r="B11" s="2">
        <f ca="1" t="shared" si="0"/>
        <v>-0.170320689449145</v>
      </c>
      <c r="C11" s="4">
        <f t="shared" si="1"/>
        <v>295816.72867747897</v>
      </c>
      <c r="D11" s="4">
        <f t="shared" si="2"/>
        <v>46866.37524009062</v>
      </c>
      <c r="E11" s="6"/>
      <c r="F11" s="4">
        <f t="shared" si="5"/>
        <v>34533.3910990953</v>
      </c>
      <c r="G11" s="4">
        <f t="shared" si="3"/>
        <v>57129.84990305092</v>
      </c>
      <c r="P11" s="37"/>
      <c r="Q11" s="39" t="str">
        <f>TEXT(J5,"0")&amp;"-year point. That is, after "&amp;TEXT(J5,"0")&amp;" years, Sam will be withdrawing "&amp;TEXT(G3,"$0,000")&amp;" so she starts"</f>
        <v>10-year point. That is, after 10 years, Sam will be withdrawing $48,760 so she starts</v>
      </c>
      <c r="R11" s="39"/>
      <c r="S11" s="39"/>
      <c r="T11" s="39"/>
      <c r="U11" s="40"/>
      <c r="Y11" s="55">
        <f t="shared" si="7"/>
        <v>7</v>
      </c>
      <c r="Z11" s="56">
        <f t="shared" si="6"/>
        <v>1134431.8461255408</v>
      </c>
    </row>
    <row r="12" spans="1:26" ht="11.25">
      <c r="A12" s="5">
        <f t="shared" si="4"/>
        <v>10</v>
      </c>
      <c r="B12" s="2">
        <f ca="1" t="shared" si="0"/>
        <v>-0.05182717222865904</v>
      </c>
      <c r="C12" s="4">
        <f t="shared" si="1"/>
        <v>232681.6813873003</v>
      </c>
      <c r="D12" s="4">
        <f t="shared" si="2"/>
        <v>47803.702744892435</v>
      </c>
      <c r="E12" s="6"/>
      <c r="F12" s="4">
        <f t="shared" si="5"/>
        <v>-15060.079653929588</v>
      </c>
      <c r="G12" s="4">
        <f t="shared" si="3"/>
        <v>58272.446901111936</v>
      </c>
      <c r="P12" s="37"/>
      <c r="Q12" s="39" t="str">
        <f>"withdrawing this amount from her portfolio after first taking out "&amp;TEXT(J5,"0")&amp;" years worth of"</f>
        <v>withdrawing this amount from her portfolio after first taking out 10 years worth of</v>
      </c>
      <c r="R12" s="39"/>
      <c r="S12" s="39"/>
      <c r="T12" s="39"/>
      <c r="U12" s="40"/>
      <c r="Y12" s="55">
        <f t="shared" si="7"/>
        <v>8</v>
      </c>
      <c r="Z12" s="56">
        <f t="shared" si="6"/>
        <v>1153523.8377071403</v>
      </c>
    </row>
    <row r="13" spans="1:26" ht="12.75">
      <c r="A13" s="5">
        <f t="shared" si="4"/>
        <v>11</v>
      </c>
      <c r="B13" s="2">
        <f ca="1" t="shared" si="0"/>
        <v>0.2041208372246183</v>
      </c>
      <c r="C13" s="4">
        <f t="shared" si="1"/>
        <v>231417.08419911767</v>
      </c>
      <c r="D13" s="4">
        <f t="shared" si="2"/>
        <v>48759.776799790285</v>
      </c>
      <c r="E13" s="6"/>
      <c r="F13" s="4">
        <f t="shared" si="5"/>
        <v>-66893.93252134942</v>
      </c>
      <c r="G13" s="4">
        <f t="shared" si="3"/>
        <v>59437.89583913417</v>
      </c>
      <c r="P13" s="37"/>
      <c r="Q13" s="39" t="str">
        <f>"Sam's withdrawals, leaving her with "&amp;TEXT(F3,"$0,000")&amp;"."</f>
        <v>Sam's withdrawals, leaving her with $562,011.</v>
      </c>
      <c r="R13" s="39"/>
      <c r="S13" s="39"/>
      <c r="T13" s="41" t="s">
        <v>19</v>
      </c>
      <c r="U13" s="40"/>
      <c r="Y13" s="55">
        <f t="shared" si="7"/>
        <v>9</v>
      </c>
      <c r="Z13" s="56">
        <f t="shared" si="6"/>
        <v>1172286.5801348502</v>
      </c>
    </row>
    <row r="14" spans="1:26" ht="11.25">
      <c r="A14" s="5">
        <f t="shared" si="4"/>
        <v>12</v>
      </c>
      <c r="B14" s="2">
        <f ca="1" t="shared" si="0"/>
        <v>0.8664174370095133</v>
      </c>
      <c r="C14" s="4">
        <f t="shared" si="1"/>
        <v>382185.9088353458</v>
      </c>
      <c r="D14" s="4">
        <f t="shared" si="2"/>
        <v>49734.97233578609</v>
      </c>
      <c r="E14" s="6"/>
      <c r="F14" s="4">
        <f t="shared" si="5"/>
        <v>-174586.97442377039</v>
      </c>
      <c r="G14" s="4">
        <f t="shared" si="3"/>
        <v>60626.65375591686</v>
      </c>
      <c r="P14" s="37"/>
      <c r="Q14" s="39"/>
      <c r="R14" s="39"/>
      <c r="S14" s="39"/>
      <c r="T14" s="39"/>
      <c r="U14" s="40"/>
      <c r="Y14" s="55">
        <f t="shared" si="7"/>
        <v>10</v>
      </c>
      <c r="Z14" s="56">
        <f t="shared" si="6"/>
        <v>1190584.766545909</v>
      </c>
    </row>
    <row r="15" spans="1:26" ht="11.25">
      <c r="A15" s="5">
        <f t="shared" si="4"/>
        <v>13</v>
      </c>
      <c r="B15" s="2">
        <f ca="1" t="shared" si="0"/>
        <v>0.3961717279706499</v>
      </c>
      <c r="C15" s="4">
        <f t="shared" si="1"/>
        <v>482867.4889621762</v>
      </c>
      <c r="D15" s="4">
        <f t="shared" si="2"/>
        <v>50729.67178250181</v>
      </c>
      <c r="E15" s="6"/>
      <c r="F15" s="4">
        <f t="shared" si="5"/>
        <v>-294483.069544905</v>
      </c>
      <c r="G15" s="4">
        <f t="shared" si="3"/>
        <v>61839.18683103519</v>
      </c>
      <c r="P15" s="37"/>
      <c r="Q15" s="39" t="str">
        <f>"Sally expects to follow Sam's portolio from his "&amp;TEXT(J5,"0")&amp;" year point, for "&amp;TEXT(40-J5,"0")&amp;" years."</f>
        <v>Sally expects to follow Sam's portolio from his 10 year point, for 30 years.</v>
      </c>
      <c r="R15" s="39"/>
      <c r="S15" s="39"/>
      <c r="T15" s="39"/>
      <c r="U15" s="40"/>
      <c r="Y15" s="55">
        <f t="shared" si="7"/>
        <v>11</v>
      </c>
      <c r="Z15" s="56">
        <f t="shared" si="6"/>
        <v>1208265.8724186313</v>
      </c>
    </row>
    <row r="16" spans="1:26" ht="11.25">
      <c r="A16" s="5">
        <f t="shared" si="4"/>
        <v>14</v>
      </c>
      <c r="B16" s="2">
        <f ca="1" t="shared" si="0"/>
        <v>0.0876367348608619</v>
      </c>
      <c r="C16" s="4">
        <f t="shared" si="1"/>
        <v>473440.1538471328</v>
      </c>
      <c r="D16" s="4">
        <f t="shared" si="2"/>
        <v>51744.26521815185</v>
      </c>
      <c r="E16" s="6"/>
      <c r="F16" s="4">
        <f t="shared" si="5"/>
        <v>-372034.8694497764</v>
      </c>
      <c r="G16" s="4">
        <f t="shared" si="3"/>
        <v>63075.970567655895</v>
      </c>
      <c r="P16" s="37"/>
      <c r="Q16" s="39"/>
      <c r="R16" s="39"/>
      <c r="S16" s="39"/>
      <c r="T16" s="39"/>
      <c r="U16" s="40"/>
      <c r="Y16" s="55">
        <f t="shared" si="7"/>
        <v>12</v>
      </c>
      <c r="Z16" s="56">
        <f t="shared" si="6"/>
        <v>1225158.403259615</v>
      </c>
    </row>
    <row r="17" spans="1:26" ht="11.25">
      <c r="A17" s="5">
        <f t="shared" si="4"/>
        <v>15</v>
      </c>
      <c r="B17" s="2">
        <f ca="1" t="shared" si="0"/>
        <v>0.20406143585190875</v>
      </c>
      <c r="C17" s="4">
        <f t="shared" si="1"/>
        <v>517271.88090861245</v>
      </c>
      <c r="D17" s="4">
        <f t="shared" si="2"/>
        <v>52779.15052251489</v>
      </c>
      <c r="E17" s="6"/>
      <c r="F17" s="4">
        <f t="shared" si="5"/>
        <v>-500731.98961919016</v>
      </c>
      <c r="G17" s="4">
        <f t="shared" si="3"/>
        <v>64337.48997900901</v>
      </c>
      <c r="P17" s="37"/>
      <c r="Q17" s="39" t="str">
        <f>"Sally is confident that her withdrawals are safe, since she will drop dead after "&amp;TEXT(40-J5,"0")&amp;" years"</f>
        <v>Sally is confident that her withdrawals are safe, since she will drop dead after 30 years</v>
      </c>
      <c r="R17" s="39"/>
      <c r="S17" s="39"/>
      <c r="T17" s="39"/>
      <c r="U17" s="40"/>
      <c r="Y17" s="55">
        <f t="shared" si="7"/>
        <v>13</v>
      </c>
      <c r="Z17" s="56">
        <f t="shared" si="6"/>
        <v>1241069.9801361049</v>
      </c>
    </row>
    <row r="18" spans="1:26" ht="11.25">
      <c r="A18" s="5">
        <f t="shared" si="4"/>
        <v>16</v>
      </c>
      <c r="B18" s="2">
        <f ca="1" t="shared" si="0"/>
        <v>-0.16138376713584876</v>
      </c>
      <c r="C18" s="4">
        <f t="shared" si="1"/>
        <v>379957.86260116927</v>
      </c>
      <c r="D18" s="4">
        <f t="shared" si="2"/>
        <v>53834.73353296518</v>
      </c>
      <c r="E18" s="6"/>
      <c r="F18" s="4">
        <f t="shared" si="5"/>
        <v>-473756.7083419817</v>
      </c>
      <c r="G18" s="4">
        <f t="shared" si="3"/>
        <v>65624.2397785892</v>
      </c>
      <c r="P18" s="37"/>
      <c r="Q18" s="39" t="str">
        <f>"and, after all, Sam's withdrawals (starting at his "&amp;TEXT(J5,"0")&amp;"-year point) are safe and he has "</f>
        <v>and, after all, Sam's withdrawals (starting at his 10-year point) are safe and he has </v>
      </c>
      <c r="R18" s="39"/>
      <c r="S18" s="39"/>
      <c r="T18" s="39"/>
      <c r="U18" s="40"/>
      <c r="Y18" s="55">
        <f t="shared" si="7"/>
        <v>14</v>
      </c>
      <c r="Z18" s="56">
        <f t="shared" si="6"/>
        <v>1255785.2487948367</v>
      </c>
    </row>
    <row r="19" spans="1:26" ht="11.25">
      <c r="A19" s="5">
        <f t="shared" si="4"/>
        <v>17</v>
      </c>
      <c r="B19" s="2">
        <f ca="1" t="shared" si="0"/>
        <v>-0.08092418147512945</v>
      </c>
      <c r="C19" s="4">
        <f t="shared" si="1"/>
        <v>294298.6553715054</v>
      </c>
      <c r="D19" s="4">
        <f t="shared" si="2"/>
        <v>54911.42820362449</v>
      </c>
      <c r="E19" s="6"/>
      <c r="F19" s="4">
        <f t="shared" si="5"/>
        <v>-490329.7627046797</v>
      </c>
      <c r="G19" s="4">
        <f t="shared" si="3"/>
        <v>66936.72457416098</v>
      </c>
      <c r="P19" s="37"/>
      <c r="Q19" s="39" t="str">
        <f>TEXT(40-J5,"0")&amp;" years left to go."</f>
        <v>30 years left to go.</v>
      </c>
      <c r="R19" s="39"/>
      <c r="S19" s="39"/>
      <c r="T19" s="39"/>
      <c r="U19" s="40"/>
      <c r="Y19" s="55">
        <f t="shared" si="7"/>
        <v>15</v>
      </c>
      <c r="Z19" s="56">
        <f t="shared" si="6"/>
        <v>1269063.5968927783</v>
      </c>
    </row>
    <row r="20" spans="1:26" ht="12" thickBot="1">
      <c r="A20" s="5">
        <f t="shared" si="4"/>
        <v>18</v>
      </c>
      <c r="B20" s="2">
        <f ca="1" t="shared" si="0"/>
        <v>0.31678364075545684</v>
      </c>
      <c r="C20" s="4">
        <f t="shared" si="1"/>
        <v>331517.9981218294</v>
      </c>
      <c r="D20" s="4">
        <f t="shared" si="2"/>
        <v>56009.65676769698</v>
      </c>
      <c r="E20" s="6"/>
      <c r="F20" s="4">
        <f t="shared" si="5"/>
        <v>-701667.8668727243</v>
      </c>
      <c r="G20" s="4">
        <f t="shared" si="3"/>
        <v>68275.4590656442</v>
      </c>
      <c r="P20" s="37"/>
      <c r="Q20" s="39"/>
      <c r="R20" s="39"/>
      <c r="S20" s="39"/>
      <c r="T20" s="39"/>
      <c r="U20" s="40"/>
      <c r="Y20" s="55">
        <f t="shared" si="7"/>
        <v>16</v>
      </c>
      <c r="Z20" s="56">
        <f t="shared" si="6"/>
        <v>1280636.662547618</v>
      </c>
    </row>
    <row r="21" spans="1:26" ht="12" thickTop="1">
      <c r="A21" s="5">
        <f t="shared" si="4"/>
        <v>19</v>
      </c>
      <c r="B21" s="2">
        <f ca="1" t="shared" si="0"/>
        <v>-0.1760607378857094</v>
      </c>
      <c r="C21" s="4">
        <f t="shared" si="1"/>
        <v>216020.84484705597</v>
      </c>
      <c r="D21" s="4">
        <f t="shared" si="2"/>
        <v>57129.84990305092</v>
      </c>
      <c r="E21" s="6"/>
      <c r="F21" s="4">
        <f t="shared" si="5"/>
        <v>-635261.5543834716</v>
      </c>
      <c r="G21" s="4">
        <f t="shared" si="3"/>
        <v>69640.96824695708</v>
      </c>
      <c r="H21" s="27" t="str">
        <f>"  Sam and Sally each have a $1M portfolio."</f>
        <v>  Sam and Sally each have a $1M portfolio.</v>
      </c>
      <c r="I21" s="28"/>
      <c r="J21" s="28"/>
      <c r="K21" s="28"/>
      <c r="L21" s="28"/>
      <c r="M21" s="28"/>
      <c r="N21" s="29"/>
      <c r="P21" s="37"/>
      <c r="Q21" s="39" t="str">
        <f>"However, her withdrawal rate is  "&amp;TEXT(G3,"0,000")&amp;"/"&amp;TEXT(F3,"0,000")&amp;" which is  "&amp;TEXT(G3/F3,"0.0%")</f>
        <v>However, her withdrawal rate is  48,760/562,011 which is  8.7%</v>
      </c>
      <c r="R21" s="39"/>
      <c r="S21" s="39"/>
      <c r="T21" s="39"/>
      <c r="U21" s="40"/>
      <c r="Y21" s="55">
        <f t="shared" si="7"/>
        <v>17</v>
      </c>
      <c r="Z21" s="56">
        <f t="shared" si="6"/>
        <v>1290205.6159882208</v>
      </c>
    </row>
    <row r="22" spans="1:26" ht="12.75">
      <c r="A22" s="5">
        <f t="shared" si="4"/>
        <v>20</v>
      </c>
      <c r="B22" s="2">
        <f ca="1" t="shared" si="0"/>
        <v>0.15293817023106385</v>
      </c>
      <c r="C22" s="4">
        <f t="shared" si="1"/>
        <v>190786.23068862135</v>
      </c>
      <c r="D22" s="4">
        <f t="shared" si="2"/>
        <v>58272.446901111936</v>
      </c>
      <c r="E22" s="6"/>
      <c r="F22" s="4">
        <f t="shared" si="5"/>
        <v>-790689.7410301332</v>
      </c>
      <c r="G22" s="4">
        <f t="shared" si="3"/>
        <v>71033.78761189623</v>
      </c>
      <c r="H22" s="15" t="str">
        <f>"  Sam expects to live for 40 years."</f>
        <v>  Sam expects to live for 40 years.</v>
      </c>
      <c r="I22" s="16"/>
      <c r="J22" s="16"/>
      <c r="K22" s="16"/>
      <c r="L22" s="16"/>
      <c r="M22" s="16"/>
      <c r="N22" s="17"/>
      <c r="P22" s="37"/>
      <c r="Q22" s="42" t="s">
        <v>18</v>
      </c>
      <c r="R22" s="43"/>
      <c r="S22" s="39"/>
      <c r="T22" s="39"/>
      <c r="U22" s="40"/>
      <c r="Y22" s="55">
        <f t="shared" si="7"/>
        <v>18</v>
      </c>
      <c r="Z22" s="56">
        <f t="shared" si="6"/>
        <v>1297438.19453852</v>
      </c>
    </row>
    <row r="23" spans="1:26" ht="11.25">
      <c r="A23" s="5">
        <f t="shared" si="4"/>
        <v>21</v>
      </c>
      <c r="B23" s="2">
        <f ca="1" t="shared" si="0"/>
        <v>0.2682882463885471</v>
      </c>
      <c r="C23" s="4">
        <f t="shared" si="1"/>
        <v>182534.03811601817</v>
      </c>
      <c r="D23" s="4">
        <f t="shared" si="2"/>
        <v>59437.89583913417</v>
      </c>
      <c r="E23" s="6"/>
      <c r="F23" s="4">
        <f t="shared" si="5"/>
        <v>-1062260.400927656</v>
      </c>
      <c r="G23" s="4">
        <f t="shared" si="3"/>
        <v>72454.46336413415</v>
      </c>
      <c r="H23" s="21" t="str">
        <f>"  He withdraws "&amp;TEXT(J4,"0.0%")&amp;" of a $1M portfolio each year, for 40 years."</f>
        <v>  He withdraws 4.0% of a $1M portfolio each year, for 40 years.</v>
      </c>
      <c r="I23" s="22"/>
      <c r="J23" s="22"/>
      <c r="K23" s="22"/>
      <c r="L23" s="22"/>
      <c r="M23" s="22"/>
      <c r="N23" s="23"/>
      <c r="P23" s="37"/>
      <c r="Q23" s="39"/>
      <c r="R23" s="39"/>
      <c r="S23" s="39"/>
      <c r="T23" s="39"/>
      <c r="U23" s="40"/>
      <c r="Y23" s="55">
        <f t="shared" si="7"/>
        <v>19</v>
      </c>
      <c r="Z23" s="56">
        <f t="shared" si="6"/>
        <v>1301965.4694926324</v>
      </c>
    </row>
    <row r="24" spans="1:26" ht="12.75">
      <c r="A24" s="5">
        <f t="shared" si="4"/>
        <v>22</v>
      </c>
      <c r="B24" s="2">
        <f ca="1" t="shared" si="0"/>
        <v>-0.35235207496967635</v>
      </c>
      <c r="C24" s="4">
        <f t="shared" si="1"/>
        <v>57591.137277328315</v>
      </c>
      <c r="D24" s="4">
        <f t="shared" si="2"/>
        <v>60626.65375591686</v>
      </c>
      <c r="E24" s="6"/>
      <c r="F24" s="4">
        <f t="shared" si="5"/>
        <v>-748597.398258593</v>
      </c>
      <c r="G24" s="4">
        <f t="shared" si="3"/>
        <v>73903.55263141684</v>
      </c>
      <c r="H24" s="24" t="str">
        <f>"  Sally expects to live for "&amp;TEXT(J5,"0")&amp;" fewer years."</f>
        <v>  Sally expects to live for 10 fewer years.</v>
      </c>
      <c r="I24" s="25"/>
      <c r="J24" s="25"/>
      <c r="K24" s="25"/>
      <c r="L24" s="25"/>
      <c r="M24" s="25"/>
      <c r="N24" s="26"/>
      <c r="P24" s="37"/>
      <c r="Q24" s="41" t="s">
        <v>19</v>
      </c>
      <c r="R24" s="39" t="str">
        <f>"After "&amp;TEXT(J5,"0")&amp;" years, Sam's portfolio (with the current random selection of returns)"</f>
        <v>After 10 years, Sam's portfolio (with the current random selection of returns)</v>
      </c>
      <c r="S24" s="39"/>
      <c r="T24" s="39"/>
      <c r="U24" s="40"/>
      <c r="Y24" s="55">
        <f t="shared" si="7"/>
        <v>20</v>
      </c>
      <c r="Z24" s="56">
        <f t="shared" si="6"/>
        <v>1303378.3216237198</v>
      </c>
    </row>
    <row r="25" spans="1:26" ht="11.25">
      <c r="A25" s="5">
        <f t="shared" si="4"/>
        <v>23</v>
      </c>
      <c r="B25" s="2">
        <f ca="1" t="shared" si="0"/>
        <v>0.06707561760762473</v>
      </c>
      <c r="C25" s="4">
        <f t="shared" si="1"/>
        <v>-385.08845210457366</v>
      </c>
      <c r="D25" s="4">
        <f t="shared" si="2"/>
        <v>61839.18683103519</v>
      </c>
      <c r="E25" s="6"/>
      <c r="F25" s="4">
        <f t="shared" si="5"/>
        <v>-860649.2179172845</v>
      </c>
      <c r="G25" s="4">
        <f t="shared" si="3"/>
        <v>75381.62368404517</v>
      </c>
      <c r="H25" s="15" t="str">
        <f>"  Sally withdraws a lump sum of "&amp;TEXT(N1,"$0,000")&amp;" ("&amp;TEXT(J5,"0")&amp;" years of Sam's withdrawals),"</f>
        <v>  Sally withdraws a lump sum of $437,989 (10 years of Sam's withdrawals),</v>
      </c>
      <c r="I25" s="16"/>
      <c r="J25" s="16"/>
      <c r="K25" s="16"/>
      <c r="L25" s="16"/>
      <c r="M25" s="16"/>
      <c r="N25" s="17"/>
      <c r="P25" s="37"/>
      <c r="Q25" s="39"/>
      <c r="R25" s="39" t="str">
        <f>"is not "&amp;TEXT(F3,"$0,000")&amp;" but "&amp;TEXT(INDEX(C3:C42,J5),"$0,000")</f>
        <v>is not $562,011 but $232,682</v>
      </c>
      <c r="S25" s="39"/>
      <c r="T25" s="39"/>
      <c r="U25" s="40"/>
      <c r="Y25" s="55">
        <f t="shared" si="7"/>
        <v>21</v>
      </c>
      <c r="Z25" s="56">
        <f t="shared" si="6"/>
        <v>1301223.6001028204</v>
      </c>
    </row>
    <row r="26" spans="1:26" ht="12" thickBot="1">
      <c r="A26" s="5">
        <f t="shared" si="4"/>
        <v>24</v>
      </c>
      <c r="B26" s="2">
        <f ca="1" t="shared" si="0"/>
        <v>0.4818012225767597</v>
      </c>
      <c r="C26" s="4">
        <f t="shared" si="1"/>
        <v>-63646.59510678465</v>
      </c>
      <c r="D26" s="4">
        <f t="shared" si="2"/>
        <v>63075.970567655895</v>
      </c>
      <c r="E26" s="6"/>
      <c r="F26" s="4">
        <f t="shared" si="5"/>
        <v>-1338387.03388722</v>
      </c>
      <c r="G26" s="4">
        <f t="shared" si="3"/>
        <v>76889.25615772608</v>
      </c>
      <c r="H26" s="18" t="str">
        <f>"  spends it on fun-and-games, then starts her withdrawals."</f>
        <v>  spends it on fun-and-games, then starts her withdrawals.</v>
      </c>
      <c r="I26" s="19"/>
      <c r="J26" s="19"/>
      <c r="K26" s="19"/>
      <c r="L26" s="19"/>
      <c r="M26" s="19"/>
      <c r="N26" s="20"/>
      <c r="P26" s="44"/>
      <c r="Q26" s="45"/>
      <c r="R26" s="45"/>
      <c r="S26" s="45"/>
      <c r="T26" s="45"/>
      <c r="U26" s="46"/>
      <c r="Y26" s="55">
        <f t="shared" si="7"/>
        <v>22</v>
      </c>
      <c r="Z26" s="56">
        <f t="shared" si="6"/>
        <v>1294999.9374741092</v>
      </c>
    </row>
    <row r="27" spans="1:26" ht="12" thickTop="1">
      <c r="A27" s="5">
        <f t="shared" si="4"/>
        <v>25</v>
      </c>
      <c r="B27" s="2">
        <f ca="1" t="shared" si="0"/>
        <v>-0.0015602527129522092</v>
      </c>
      <c r="C27" s="4">
        <f t="shared" si="1"/>
        <v>-127884.78031310812</v>
      </c>
      <c r="D27" s="4">
        <f t="shared" si="2"/>
        <v>64337.48997900901</v>
      </c>
      <c r="E27" s="6"/>
      <c r="F27" s="4">
        <f t="shared" si="5"/>
        <v>-1400636.3018656264</v>
      </c>
      <c r="G27" s="4">
        <f t="shared" si="3"/>
        <v>78427.0412808806</v>
      </c>
      <c r="Y27" s="55">
        <f aca="true" t="shared" si="8" ref="Y27:Y38">1+Y26</f>
        <v>23</v>
      </c>
      <c r="Z27" s="56">
        <f t="shared" si="6"/>
        <v>1284153.191026365</v>
      </c>
    </row>
    <row r="28" spans="1:26" ht="11.25">
      <c r="A28" s="5">
        <f t="shared" si="4"/>
        <v>26</v>
      </c>
      <c r="B28" s="2">
        <f ca="1" t="shared" si="0"/>
        <v>-0.10439823972788873</v>
      </c>
      <c r="C28" s="4">
        <f t="shared" si="1"/>
        <v>-180158.07413902105</v>
      </c>
      <c r="D28" s="4">
        <f t="shared" si="2"/>
        <v>65624.2397785892</v>
      </c>
      <c r="E28" s="6"/>
      <c r="F28" s="4">
        <f t="shared" si="5"/>
        <v>-1320036.5772304644</v>
      </c>
      <c r="G28" s="4">
        <f t="shared" si="3"/>
        <v>79995.58210649822</v>
      </c>
      <c r="Y28" s="55">
        <f t="shared" si="8"/>
        <v>24</v>
      </c>
      <c r="Z28" s="56">
        <f t="shared" si="6"/>
        <v>1268071.4784023268</v>
      </c>
    </row>
    <row r="29" spans="1:26" ht="11.25">
      <c r="A29" s="5">
        <f t="shared" si="4"/>
        <v>27</v>
      </c>
      <c r="B29" s="2">
        <f ca="1" t="shared" si="0"/>
        <v>-0.15917994778661523</v>
      </c>
      <c r="C29" s="4">
        <f t="shared" si="1"/>
        <v>-218417.2458783955</v>
      </c>
      <c r="D29" s="4">
        <f t="shared" si="2"/>
        <v>66936.72457416098</v>
      </c>
      <c r="E29" s="6"/>
      <c r="F29" s="4">
        <f t="shared" si="5"/>
        <v>-1176849.9483646578</v>
      </c>
      <c r="G29" s="4">
        <f t="shared" si="3"/>
        <v>81595.49374862819</v>
      </c>
      <c r="Y29" s="55">
        <f t="shared" si="8"/>
        <v>25</v>
      </c>
      <c r="Z29" s="56">
        <f t="shared" si="6"/>
        <v>1246079.7725823247</v>
      </c>
    </row>
    <row r="30" spans="1:26" ht="11.25">
      <c r="A30" s="5">
        <f t="shared" si="4"/>
        <v>28</v>
      </c>
      <c r="B30" s="2">
        <f ca="1" t="shared" si="0"/>
        <v>-0.14367078938463237</v>
      </c>
      <c r="C30" s="4">
        <f t="shared" si="1"/>
        <v>-255312.52681347326</v>
      </c>
      <c r="D30" s="4">
        <f t="shared" si="2"/>
        <v>68275.4590656442</v>
      </c>
      <c r="E30" s="6"/>
      <c r="F30" s="4">
        <f t="shared" si="5"/>
        <v>-1076046.4463614877</v>
      </c>
      <c r="G30" s="4">
        <f t="shared" si="3"/>
        <v>83227.40362360075</v>
      </c>
      <c r="Y30" s="55">
        <f t="shared" si="8"/>
        <v>26</v>
      </c>
      <c r="Z30" s="56">
        <f t="shared" si="6"/>
        <v>1217434.0184491933</v>
      </c>
    </row>
    <row r="31" spans="1:26" ht="11.25">
      <c r="A31" s="5">
        <f t="shared" si="4"/>
        <v>29</v>
      </c>
      <c r="B31" s="2">
        <f ca="1" t="shared" si="0"/>
        <v>0.185731138571864</v>
      </c>
      <c r="C31" s="4">
        <f t="shared" si="1"/>
        <v>-372372.9813571563</v>
      </c>
      <c r="D31" s="4">
        <f t="shared" si="2"/>
        <v>69640.96824695708</v>
      </c>
      <c r="E31" s="6"/>
      <c r="F31" s="4">
        <f t="shared" si="5"/>
        <v>-1345542.7462473721</v>
      </c>
      <c r="G31" s="4">
        <f t="shared" si="3"/>
        <v>84891.95169607276</v>
      </c>
      <c r="Y31" s="55">
        <f t="shared" si="8"/>
        <v>27</v>
      </c>
      <c r="Z31" s="56">
        <f t="shared" si="6"/>
        <v>1181314.7299695117</v>
      </c>
    </row>
    <row r="32" spans="1:26" ht="11.25">
      <c r="A32" s="5">
        <f t="shared" si="4"/>
        <v>30</v>
      </c>
      <c r="B32" s="2">
        <f ca="1" t="shared" si="0"/>
        <v>-0.18015119030693313</v>
      </c>
      <c r="C32" s="4">
        <f t="shared" si="1"/>
        <v>-376323.3331394194</v>
      </c>
      <c r="D32" s="4">
        <f t="shared" si="2"/>
        <v>71033.78761189623</v>
      </c>
      <c r="E32" s="6"/>
      <c r="F32" s="4">
        <f t="shared" si="5"/>
        <v>-1174175.4065139445</v>
      </c>
      <c r="G32" s="4">
        <f>IF(F32="","",G31*(1+$J$3))</f>
        <v>86589.79072999422</v>
      </c>
      <c r="Y32" s="55">
        <f t="shared" si="8"/>
        <v>28</v>
      </c>
      <c r="Z32" s="56">
        <f t="shared" si="6"/>
        <v>1136820.0235918416</v>
      </c>
    </row>
    <row r="33" spans="1:26" ht="11.25">
      <c r="A33" s="5">
        <f t="shared" si="4"/>
        <v>31</v>
      </c>
      <c r="B33" s="2">
        <f ca="1" t="shared" si="0"/>
        <v>0.10828539097914472</v>
      </c>
      <c r="C33" s="4">
        <f t="shared" si="1"/>
        <v>-489528.1157671305</v>
      </c>
      <c r="D33" s="4">
        <f t="shared" si="2"/>
        <v>72454.46336413415</v>
      </c>
      <c r="E33" s="6"/>
      <c r="F33" s="4">
        <f t="shared" si="5"/>
      </c>
      <c r="G33" s="4">
        <f aca="true" t="shared" si="9" ref="G33:G42">IF(F33="","",G32*(1+$J$3))</f>
      </c>
      <c r="Y33" s="55">
        <f t="shared" si="8"/>
        <v>29</v>
      </c>
      <c r="Z33" s="56">
        <f t="shared" si="6"/>
        <v>1082958.039744421</v>
      </c>
    </row>
    <row r="34" spans="1:26" ht="11.25">
      <c r="A34" s="5">
        <f t="shared" si="4"/>
        <v>32</v>
      </c>
      <c r="B34" s="2">
        <f ca="1" t="shared" si="0"/>
        <v>-0.40366462917532775</v>
      </c>
      <c r="C34" s="4">
        <f t="shared" si="1"/>
        <v>-365826.4830765117</v>
      </c>
      <c r="D34" s="4">
        <f t="shared" si="2"/>
        <v>73903.55263141684</v>
      </c>
      <c r="E34" s="6"/>
      <c r="F34" s="4">
        <f t="shared" si="5"/>
      </c>
      <c r="G34" s="4">
        <f t="shared" si="9"/>
      </c>
      <c r="Y34" s="55">
        <f t="shared" si="8"/>
        <v>30</v>
      </c>
      <c r="Z34" s="56">
        <f t="shared" si="6"/>
        <v>1018638.700289309</v>
      </c>
    </row>
    <row r="35" spans="1:26" ht="11.25">
      <c r="A35" s="5">
        <f t="shared" si="4"/>
        <v>33</v>
      </c>
      <c r="B35" s="2">
        <f ca="1" t="shared" si="0"/>
        <v>0.03876105802177335</v>
      </c>
      <c r="C35" s="4">
        <f t="shared" si="1"/>
        <v>-455387.92829698685</v>
      </c>
      <c r="D35" s="4">
        <f t="shared" si="2"/>
        <v>75381.62368404517</v>
      </c>
      <c r="E35" s="6"/>
      <c r="F35" s="4">
        <f t="shared" si="5"/>
      </c>
      <c r="G35" s="4">
        <f t="shared" si="9"/>
      </c>
      <c r="Y35" s="55">
        <f t="shared" si="8"/>
        <v>31</v>
      </c>
      <c r="Z35" s="56">
        <f t="shared" si="6"/>
        <v>942664.745432321</v>
      </c>
    </row>
    <row r="36" spans="1:26" ht="11.25">
      <c r="A36" s="5">
        <f t="shared" si="4"/>
        <v>34</v>
      </c>
      <c r="B36" s="2">
        <f ca="1" t="shared" si="0"/>
        <v>-0.05684985671920004</v>
      </c>
      <c r="C36" s="4">
        <f t="shared" si="1"/>
        <v>-506388.44597937586</v>
      </c>
      <c r="D36" s="4">
        <f t="shared" si="2"/>
        <v>76889.25615772608</v>
      </c>
      <c r="E36" s="6"/>
      <c r="F36" s="4">
        <f t="shared" si="5"/>
      </c>
      <c r="G36" s="4">
        <f t="shared" si="9"/>
      </c>
      <c r="Y36" s="55">
        <f t="shared" si="8"/>
        <v>32</v>
      </c>
      <c r="Z36" s="56">
        <f t="shared" si="6"/>
        <v>853721.9888709523</v>
      </c>
    </row>
    <row r="37" spans="1:26" ht="11.25">
      <c r="A37" s="5">
        <f t="shared" si="4"/>
        <v>35</v>
      </c>
      <c r="B37" s="2">
        <f ca="1" t="shared" si="0"/>
        <v>-0.34555019146879207</v>
      </c>
      <c r="C37" s="4">
        <f t="shared" si="1"/>
        <v>-409832.86279449903</v>
      </c>
      <c r="D37" s="4">
        <f t="shared" si="2"/>
        <v>78427.0412808806</v>
      </c>
      <c r="E37" s="6"/>
      <c r="F37" s="4">
        <f t="shared" si="5"/>
      </c>
      <c r="G37" s="4">
        <f t="shared" si="9"/>
      </c>
      <c r="Y37" s="55">
        <f t="shared" si="8"/>
        <v>33</v>
      </c>
      <c r="Z37" s="56">
        <f t="shared" si="6"/>
        <v>750368.724856439</v>
      </c>
    </row>
    <row r="38" spans="1:26" ht="11.25">
      <c r="A38" s="5">
        <f t="shared" si="4"/>
        <v>36</v>
      </c>
      <c r="B38" s="2">
        <f ca="1" t="shared" si="0"/>
        <v>-0.052929934554558716</v>
      </c>
      <c r="C38" s="4">
        <f t="shared" si="1"/>
        <v>-468136.0182949769</v>
      </c>
      <c r="D38" s="4">
        <f t="shared" si="2"/>
        <v>79995.58210649822</v>
      </c>
      <c r="E38" s="6"/>
      <c r="F38" s="4">
        <f t="shared" si="5"/>
      </c>
      <c r="G38" s="4">
        <f t="shared" si="9"/>
      </c>
      <c r="Y38" s="55">
        <f t="shared" si="8"/>
        <v>34</v>
      </c>
      <c r="Z38" s="56">
        <f t="shared" si="6"/>
        <v>631024.2153195348</v>
      </c>
    </row>
    <row r="39" spans="1:26" ht="11.25">
      <c r="A39" s="5">
        <f t="shared" si="4"/>
        <v>37</v>
      </c>
      <c r="B39" s="2">
        <f ca="1" t="shared" si="0"/>
        <v>0.5997717803437262</v>
      </c>
      <c r="C39" s="4">
        <f t="shared" si="1"/>
        <v>-830506.2851794065</v>
      </c>
      <c r="D39" s="4">
        <f t="shared" si="2"/>
        <v>81595.49374862819</v>
      </c>
      <c r="E39" s="6"/>
      <c r="F39" s="4">
        <f t="shared" si="5"/>
      </c>
      <c r="G39" s="4">
        <f t="shared" si="9"/>
      </c>
      <c r="Y39" s="55">
        <f aca="true" t="shared" si="10" ref="Y39:Y44">1+Y38</f>
        <v>35</v>
      </c>
      <c r="Z39" s="56">
        <f t="shared" si="6"/>
        <v>493956.17922796775</v>
      </c>
    </row>
    <row r="40" spans="1:26" ht="11.25">
      <c r="A40" s="5">
        <f t="shared" si="4"/>
        <v>38</v>
      </c>
      <c r="B40" s="2">
        <f ca="1" t="shared" si="0"/>
        <v>0.23069058806853718</v>
      </c>
      <c r="C40" s="4">
        <f t="shared" si="1"/>
        <v>-1105323.6721256608</v>
      </c>
      <c r="D40" s="4">
        <f t="shared" si="2"/>
        <v>83227.40362360075</v>
      </c>
      <c r="E40" s="6"/>
      <c r="F40" s="4">
        <f t="shared" si="5"/>
      </c>
      <c r="G40" s="4">
        <f t="shared" si="9"/>
      </c>
      <c r="Y40" s="55">
        <f t="shared" si="10"/>
        <v>36</v>
      </c>
      <c r="Z40" s="56">
        <f t="shared" si="6"/>
        <v>337267.1998698497</v>
      </c>
    </row>
    <row r="41" spans="1:26" ht="11.25">
      <c r="A41" s="5">
        <f t="shared" si="4"/>
        <v>39</v>
      </c>
      <c r="B41" s="2">
        <f ca="1" t="shared" si="0"/>
        <v>0.13107221229787683</v>
      </c>
      <c r="C41" s="4">
        <f t="shared" si="1"/>
        <v>-1335092.842832457</v>
      </c>
      <c r="D41" s="4">
        <f t="shared" si="2"/>
        <v>84891.95169607276</v>
      </c>
      <c r="E41" s="6"/>
      <c r="F41" s="4">
        <f t="shared" si="5"/>
      </c>
      <c r="G41" s="4">
        <f t="shared" si="9"/>
      </c>
      <c r="Y41" s="55">
        <f t="shared" si="10"/>
        <v>37</v>
      </c>
      <c r="Z41" s="56">
        <f t="shared" si="6"/>
        <v>158879.9587512873</v>
      </c>
    </row>
    <row r="42" spans="1:26" ht="11.25">
      <c r="A42" s="5">
        <f t="shared" si="4"/>
        <v>40</v>
      </c>
      <c r="B42" s="2">
        <f ca="1" t="shared" si="0"/>
        <v>0.09921943410503445</v>
      </c>
      <c r="C42" s="4">
        <f t="shared" si="1"/>
        <v>-1554149.7899059695</v>
      </c>
      <c r="D42" s="4">
        <f t="shared" si="2"/>
        <v>86589.79072999422</v>
      </c>
      <c r="E42" s="6"/>
      <c r="F42" s="4">
        <f t="shared" si="5"/>
      </c>
      <c r="G42" s="4">
        <f t="shared" si="9"/>
      </c>
      <c r="Y42" s="55">
        <f t="shared" si="10"/>
        <v>38</v>
      </c>
      <c r="Z42" s="56">
        <f t="shared" si="6"/>
        <v>-43478.80278517865</v>
      </c>
    </row>
    <row r="43" spans="25:26" ht="11.25">
      <c r="Y43" s="55">
        <f t="shared" si="10"/>
        <v>39</v>
      </c>
      <c r="Z43" s="56">
        <f t="shared" si="6"/>
        <v>-272295.7013190277</v>
      </c>
    </row>
    <row r="44" spans="25:26" ht="11.25">
      <c r="Y44" s="55">
        <f t="shared" si="10"/>
        <v>40</v>
      </c>
      <c r="Z44" s="56">
        <f t="shared" si="6"/>
        <v>-530289.6244624443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2003-05-17T19:46:53Z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