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71" windowWidth="11415" windowHeight="6600" activeTab="0"/>
  </bookViews>
  <sheets>
    <sheet name="MRW" sheetId="1" r:id="rId1"/>
    <sheet name="MRW-2" sheetId="2" r:id="rId2"/>
  </sheets>
  <definedNames>
    <definedName name="i">'MRW-2'!$B$5</definedName>
    <definedName name="M">'MRW-2'!$B$3</definedName>
    <definedName name="n">'MRW-2'!$B$6</definedName>
    <definedName name="S">'MRW-2'!$B$4</definedName>
    <definedName name="W">'MRW-2'!$B$1:$L$1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<sst xmlns="http://schemas.openxmlformats.org/spreadsheetml/2006/main" count="31" uniqueCount="30">
  <si>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Mean Annual return: M =</t>
  </si>
  <si>
    <t>Standard Deviation: S =</t>
  </si>
  <si>
    <t>Inflation Rate: i =</t>
  </si>
  <si>
    <t>Number of Years: n =</t>
  </si>
  <si>
    <t>Withdrawal Rate: W =</t>
  </si>
  <si>
    <t>Probability =</t>
  </si>
  <si>
    <t>See:</t>
  </si>
  <si>
    <t>http://home.golden.net/~pjponzo/distributions-stuff-2.htm</t>
  </si>
  <si>
    <r>
      <t>M</t>
    </r>
    <r>
      <rPr>
        <sz val="8"/>
        <rFont val="Arial"/>
        <family val="2"/>
      </rPr>
      <t xml:space="preserve"> =</t>
    </r>
  </si>
  <si>
    <r>
      <t>S</t>
    </r>
    <r>
      <rPr>
        <sz val="8"/>
        <rFont val="Arial"/>
        <family val="2"/>
      </rPr>
      <t xml:space="preserve">^2 = </t>
    </r>
  </si>
  <si>
    <r>
      <t>Mean</t>
    </r>
    <r>
      <rPr>
        <sz val="8"/>
        <rFont val="Arial"/>
        <family val="2"/>
      </rPr>
      <t xml:space="preserve"> =</t>
    </r>
  </si>
  <si>
    <r>
      <t>SD</t>
    </r>
    <r>
      <rPr>
        <sz val="8"/>
        <rFont val="Arial"/>
        <family val="2"/>
      </rPr>
      <t xml:space="preserve">^2 = </t>
    </r>
  </si>
  <si>
    <r>
      <t>X</t>
    </r>
    <r>
      <rPr>
        <b/>
        <sz val="8"/>
        <color indexed="8"/>
        <rFont val="Arial"/>
        <family val="2"/>
      </rPr>
      <t xml:space="preserve"> =</t>
    </r>
  </si>
  <si>
    <t>"Safe" Withdrawal Rate =</t>
  </si>
  <si>
    <t>x</t>
  </si>
  <si>
    <r>
      <t>M</t>
    </r>
    <r>
      <rPr>
        <b/>
        <sz val="8"/>
        <color indexed="8"/>
        <rFont val="Arial"/>
        <family val="2"/>
      </rPr>
      <t xml:space="preserve"> =</t>
    </r>
  </si>
  <si>
    <r>
      <t>SD</t>
    </r>
    <r>
      <rPr>
        <b/>
        <sz val="8"/>
        <color indexed="8"/>
        <rFont val="Arial"/>
        <family val="2"/>
      </rPr>
      <t xml:space="preserve"> =</t>
    </r>
  </si>
  <si>
    <t>dx</t>
  </si>
  <si>
    <t>1-F(gMS)</t>
  </si>
  <si>
    <t>1-Wx</t>
  </si>
  <si>
    <t>Fraction of portfolios less than u% of buy-and-hold</t>
  </si>
  <si>
    <t>Standard Deviation =</t>
  </si>
  <si>
    <t>Annual Inflation =</t>
  </si>
  <si>
    <t>years</t>
  </si>
  <si>
    <t xml:space="preserve">Fill in the </t>
  </si>
  <si>
    <t>boxes</t>
  </si>
  <si>
    <t>http://home.golden.net/~pjponzo/distributions-stuff.htm</t>
  </si>
  <si>
    <t>increments</t>
  </si>
  <si>
    <t xml:space="preserve">m = </t>
  </si>
  <si>
    <t xml:space="preserve">Plot, with Returns from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</si>
</sst>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00"/>
    <numFmt numFmtId="173" formatCode="#,##0.0000"/>
    <numFmt numFmtId="174" formatCode="0.0%"/>
    <numFmt numFmtId="175" formatCode="0.000"/>
    <numFmt numFmtId="176" formatCode="0.0000"/>
    <numFmt numFmtId="177" formatCode="0.000000000000000%"/>
    <numFmt numFmtId="178" formatCode="&quot;$&quot;#,##0"/>
    <numFmt numFmtId="179" formatCode="&quot;$&quot;#,##0.00"/>
    <numFmt numFmtId="180" formatCode="0.0"/>
    <numFmt numFmtId="181" formatCode="0.0000000000000000%"/>
    <numFmt numFmtId="182" formatCode="0.000000000000000"/>
    <numFmt numFmtId="183" formatCode="0.00000000%"/>
    <numFmt numFmtId="184" formatCode="0.00000000000000"/>
    <numFmt numFmtId="185" formatCode="0.000%"/>
  </numFmts>
  <fonts count="16">
    <font>
      <sz val="8"/>
      <name val="Arial"/>
      <family val="0"/>
    </font>
    <font>
      <sz val="5.75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 Black"/>
      <family val="2"/>
    </font>
    <font>
      <b/>
      <sz val="9"/>
      <name val="Arial Black"/>
      <family val="2"/>
    </font>
    <font>
      <sz val="7"/>
      <name val="Arial"/>
      <family val="2"/>
    </font>
    <font>
      <sz val="8.25"/>
      <name val="Arial"/>
      <family val="0"/>
    </font>
    <font>
      <b/>
      <sz val="9"/>
      <name val="Arial"/>
      <family val="2"/>
    </font>
    <font>
      <sz val="8.5"/>
      <name val="Arial"/>
      <family val="0"/>
    </font>
    <font>
      <b/>
      <sz val="11"/>
      <name val="Arial"/>
      <family val="2"/>
    </font>
    <font>
      <b/>
      <sz val="8.25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thick">
        <color indexed="10"/>
      </right>
      <top style="medium">
        <color indexed="12"/>
      </top>
      <bottom style="medium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center"/>
    </xf>
    <xf numFmtId="10" fontId="2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0" fontId="0" fillId="2" borderId="0" xfId="0" applyNumberFormat="1" applyFont="1" applyFill="1" applyAlignment="1" quotePrefix="1">
      <alignment horizontal="center" vertical="center"/>
    </xf>
    <xf numFmtId="10" fontId="0" fillId="2" borderId="0" xfId="0" applyNumberFormat="1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174" fontId="2" fillId="2" borderId="4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center" vertical="center"/>
    </xf>
    <xf numFmtId="174" fontId="0" fillId="2" borderId="0" xfId="0" applyNumberFormat="1" applyFont="1" applyFill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174" fontId="2" fillId="2" borderId="6" xfId="0" applyNumberFormat="1" applyFont="1" applyFill="1" applyBorder="1" applyAlignment="1">
      <alignment horizontal="center" vertical="center"/>
    </xf>
    <xf numFmtId="10" fontId="2" fillId="2" borderId="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Alignment="1">
      <alignment/>
    </xf>
    <xf numFmtId="173" fontId="0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10" fontId="0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2" fillId="4" borderId="0" xfId="0" applyFont="1" applyFill="1" applyBorder="1" applyAlignment="1">
      <alignment horizontal="right" vertical="center"/>
    </xf>
    <xf numFmtId="175" fontId="0" fillId="2" borderId="0" xfId="0" applyNumberFormat="1" applyFont="1" applyFill="1" applyAlignment="1">
      <alignment horizontal="center" vertical="center"/>
    </xf>
    <xf numFmtId="174" fontId="6" fillId="4" borderId="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right" vertical="center"/>
    </xf>
    <xf numFmtId="10" fontId="0" fillId="2" borderId="0" xfId="0" applyNumberFormat="1" applyFill="1" applyAlignment="1">
      <alignment horizontal="center" vertical="center"/>
    </xf>
    <xf numFmtId="0" fontId="0" fillId="2" borderId="0" xfId="0" applyFill="1" applyAlignment="1" quotePrefix="1">
      <alignment/>
    </xf>
    <xf numFmtId="0" fontId="0" fillId="3" borderId="0" xfId="0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0" fillId="5" borderId="0" xfId="0" applyFont="1" applyFill="1" applyAlignment="1">
      <alignment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right" vertical="center"/>
    </xf>
    <xf numFmtId="176" fontId="0" fillId="3" borderId="0" xfId="0" applyNumberFormat="1" applyFill="1" applyAlignment="1">
      <alignment horizontal="center" vertical="center"/>
    </xf>
    <xf numFmtId="176" fontId="0" fillId="3" borderId="0" xfId="0" applyNumberFormat="1" applyFont="1" applyFill="1" applyAlignment="1">
      <alignment horizontal="center" vertical="center"/>
    </xf>
    <xf numFmtId="174" fontId="0" fillId="3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/>
    </xf>
    <xf numFmtId="176" fontId="0" fillId="2" borderId="0" xfId="0" applyNumberFormat="1" applyFont="1" applyFill="1" applyAlignment="1">
      <alignment/>
    </xf>
    <xf numFmtId="17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174" fontId="2" fillId="2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174" fontId="8" fillId="2" borderId="0" xfId="0" applyNumberFormat="1" applyFont="1" applyFill="1" applyAlignment="1">
      <alignment horizontal="center" vertical="center"/>
    </xf>
    <xf numFmtId="180" fontId="10" fillId="4" borderId="10" xfId="0" applyNumberFormat="1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180" fontId="0" fillId="2" borderId="0" xfId="0" applyNumberFormat="1" applyFill="1" applyAlignment="1">
      <alignment horizontal="center" vertical="center"/>
    </xf>
    <xf numFmtId="0" fontId="0" fillId="3" borderId="13" xfId="0" applyFill="1" applyBorder="1" applyAlignment="1">
      <alignment horizontal="right" vertical="center"/>
    </xf>
    <xf numFmtId="174" fontId="2" fillId="6" borderId="13" xfId="0" applyNumberFormat="1" applyFont="1" applyFill="1" applyBorder="1" applyAlignment="1">
      <alignment horizontal="center" vertical="center"/>
    </xf>
    <xf numFmtId="174" fontId="2" fillId="7" borderId="13" xfId="0" applyNumberFormat="1" applyFont="1" applyFill="1" applyBorder="1" applyAlignment="1">
      <alignment horizontal="center" vertical="center"/>
    </xf>
    <xf numFmtId="174" fontId="2" fillId="8" borderId="13" xfId="0" applyNumberFormat="1" applyFont="1" applyFill="1" applyBorder="1" applyAlignment="1">
      <alignment horizontal="center" vertical="center"/>
    </xf>
    <xf numFmtId="174" fontId="2" fillId="9" borderId="13" xfId="0" applyNumberFormat="1" applyFont="1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/>
    </xf>
    <xf numFmtId="176" fontId="0" fillId="3" borderId="15" xfId="0" applyNumberFormat="1" applyFill="1" applyBorder="1" applyAlignment="1">
      <alignment horizontal="center" vertical="center"/>
    </xf>
    <xf numFmtId="1" fontId="8" fillId="10" borderId="14" xfId="0" applyNumberFormat="1" applyFont="1" applyFill="1" applyBorder="1" applyAlignment="1">
      <alignment horizontal="center" vertical="center"/>
    </xf>
    <xf numFmtId="174" fontId="0" fillId="6" borderId="14" xfId="0" applyNumberFormat="1" applyFill="1" applyBorder="1" applyAlignment="1">
      <alignment horizontal="center" vertical="center"/>
    </xf>
    <xf numFmtId="174" fontId="0" fillId="7" borderId="14" xfId="0" applyNumberFormat="1" applyFill="1" applyBorder="1" applyAlignment="1">
      <alignment horizontal="center" vertical="center"/>
    </xf>
    <xf numFmtId="174" fontId="0" fillId="8" borderId="14" xfId="0" applyNumberFormat="1" applyFill="1" applyBorder="1" applyAlignment="1">
      <alignment horizontal="center" vertical="center"/>
    </xf>
    <xf numFmtId="174" fontId="0" fillId="9" borderId="14" xfId="0" applyNumberFormat="1" applyFill="1" applyBorder="1" applyAlignment="1">
      <alignment horizontal="center" vertical="center"/>
    </xf>
    <xf numFmtId="1" fontId="8" fillId="10" borderId="15" xfId="0" applyNumberFormat="1" applyFont="1" applyFill="1" applyBorder="1" applyAlignment="1">
      <alignment horizontal="center" vertical="center"/>
    </xf>
    <xf numFmtId="174" fontId="0" fillId="6" borderId="15" xfId="0" applyNumberFormat="1" applyFill="1" applyBorder="1" applyAlignment="1">
      <alignment horizontal="center" vertical="center"/>
    </xf>
    <xf numFmtId="174" fontId="0" fillId="7" borderId="15" xfId="0" applyNumberFormat="1" applyFill="1" applyBorder="1" applyAlignment="1">
      <alignment horizontal="center" vertical="center"/>
    </xf>
    <xf numFmtId="174" fontId="0" fillId="8" borderId="15" xfId="0" applyNumberFormat="1" applyFill="1" applyBorder="1" applyAlignment="1">
      <alignment horizontal="center" vertical="center"/>
    </xf>
    <xf numFmtId="174" fontId="0" fillId="9" borderId="15" xfId="0" applyNumberFormat="1" applyFill="1" applyBorder="1" applyAlignment="1">
      <alignment horizontal="center" vertical="center"/>
    </xf>
    <xf numFmtId="180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80" fontId="2" fillId="2" borderId="0" xfId="0" applyNumberFormat="1" applyFont="1" applyFill="1" applyAlignment="1">
      <alignment horizontal="right" vertical="center"/>
    </xf>
    <xf numFmtId="10" fontId="2" fillId="2" borderId="11" xfId="0" applyNumberFormat="1" applyFont="1" applyFill="1" applyBorder="1" applyAlignment="1">
      <alignment horizontal="center" vertical="center"/>
    </xf>
    <xf numFmtId="180" fontId="14" fillId="2" borderId="0" xfId="0" applyNumberFormat="1" applyFont="1" applyFill="1" applyAlignment="1">
      <alignment horizontal="right" vertical="center"/>
    </xf>
    <xf numFmtId="180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5"/>
          <c:w val="1"/>
          <c:h val="0.9345"/>
        </c:manualLayout>
      </c:layout>
      <c:scatterChart>
        <c:scatterStyle val="smooth"/>
        <c:varyColors val="0"/>
        <c:ser>
          <c:idx val="0"/>
          <c:order val="0"/>
          <c:tx>
            <c:strRef>
              <c:f>MRW!$H$3</c:f>
              <c:strCache>
                <c:ptCount val="1"/>
                <c:pt idx="0">
                  <c:v>5.0%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MRW!$H$6:$H$21</c:f>
              <c:numCache>
                <c:ptCount val="16"/>
                <c:pt idx="0">
                  <c:v>0.1002428729314309</c:v>
                </c:pt>
                <c:pt idx="1">
                  <c:v>0.08357256152570065</c:v>
                </c:pt>
                <c:pt idx="2">
                  <c:v>0.0716652055072208</c:v>
                </c:pt>
                <c:pt idx="3">
                  <c:v>0.0627346966057622</c:v>
                </c:pt>
                <c:pt idx="4">
                  <c:v>0.05578875244897812</c:v>
                </c:pt>
                <c:pt idx="5">
                  <c:v>0.05023200361345674</c:v>
                </c:pt>
                <c:pt idx="6">
                  <c:v>0.045685578647936695</c:v>
                </c:pt>
                <c:pt idx="7">
                  <c:v>0.041896896584907244</c:v>
                </c:pt>
                <c:pt idx="8">
                  <c:v>0.03869109367763178</c:v>
                </c:pt>
                <c:pt idx="9">
                  <c:v>0.035943267249868224</c:v>
                </c:pt>
                <c:pt idx="10">
                  <c:v>0.033561822005705226</c:v>
                </c:pt>
                <c:pt idx="11">
                  <c:v>0.03147806147320798</c:v>
                </c:pt>
                <c:pt idx="12">
                  <c:v>0.02963945305619148</c:v>
                </c:pt>
                <c:pt idx="13">
                  <c:v>0.028005138068732987</c:v>
                </c:pt>
                <c:pt idx="14">
                  <c:v>0.026542859653524303</c:v>
                </c:pt>
                <c:pt idx="15">
                  <c:v>0.02522681232471864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MRW!$I$3</c:f>
              <c:strCache>
                <c:ptCount val="1"/>
                <c:pt idx="0">
                  <c:v>7.0%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MRW!$I$6:$I$21</c:f>
              <c:numCache>
                <c:ptCount val="16"/>
                <c:pt idx="0">
                  <c:v>0.11170637520941425</c:v>
                </c:pt>
                <c:pt idx="1">
                  <c:v>0.09493837768090012</c:v>
                </c:pt>
                <c:pt idx="2">
                  <c:v>0.08298121754035032</c:v>
                </c:pt>
                <c:pt idx="3">
                  <c:v>0.07403079287495379</c:v>
                </c:pt>
                <c:pt idx="4">
                  <c:v>0.06708481977031175</c:v>
                </c:pt>
                <c:pt idx="5">
                  <c:v>0.06154192335241372</c:v>
                </c:pt>
                <c:pt idx="6">
                  <c:v>0.05701940644780858</c:v>
                </c:pt>
                <c:pt idx="7">
                  <c:v>0.05326213391793543</c:v>
                </c:pt>
                <c:pt idx="8">
                  <c:v>0.05009347038143702</c:v>
                </c:pt>
                <c:pt idx="9">
                  <c:v>0.04738724463037296</c:v>
                </c:pt>
                <c:pt idx="10">
                  <c:v>0.04505092828308706</c:v>
                </c:pt>
                <c:pt idx="11">
                  <c:v>0.043015122445099585</c:v>
                </c:pt>
                <c:pt idx="12">
                  <c:v>0.041226754962862606</c:v>
                </c:pt>
                <c:pt idx="13">
                  <c:v>0.03964454526195045</c:v>
                </c:pt>
                <c:pt idx="14">
                  <c:v>0.03823590134374872</c:v>
                </c:pt>
                <c:pt idx="15">
                  <c:v>0.03697474768507658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MRW!$J$3</c:f>
              <c:strCache>
                <c:ptCount val="1"/>
                <c:pt idx="0">
                  <c:v>9.0%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MRW!$J$6:$J$21</c:f>
              <c:numCache>
                <c:ptCount val="16"/>
                <c:pt idx="0">
                  <c:v>0.12407170170938386</c:v>
                </c:pt>
                <c:pt idx="1">
                  <c:v>0.10733886613255425</c:v>
                </c:pt>
                <c:pt idx="2">
                  <c:v>0.09546446369172636</c:v>
                </c:pt>
                <c:pt idx="3">
                  <c:v>0.08662600994952195</c:v>
                </c:pt>
                <c:pt idx="4">
                  <c:v>0.07981094164420952</c:v>
                </c:pt>
                <c:pt idx="5">
                  <c:v>0.07441165843855453</c:v>
                </c:pt>
                <c:pt idx="6">
                  <c:v>0.07004145121252528</c:v>
                </c:pt>
                <c:pt idx="7">
                  <c:v>0.06644246639759933</c:v>
                </c:pt>
                <c:pt idx="8">
                  <c:v>0.06343614846604141</c:v>
                </c:pt>
                <c:pt idx="9">
                  <c:v>0.06089492148004071</c:v>
                </c:pt>
                <c:pt idx="10">
                  <c:v>0.058725198122414446</c:v>
                </c:pt>
                <c:pt idx="11">
                  <c:v>0.05685676041939235</c:v>
                </c:pt>
                <c:pt idx="12">
                  <c:v>0.055235888502091775</c:v>
                </c:pt>
                <c:pt idx="13">
                  <c:v>0.05382077982150929</c:v>
                </c:pt>
                <c:pt idx="14">
                  <c:v>0.052578414952122426</c:v>
                </c:pt>
                <c:pt idx="15">
                  <c:v>0.051482363665477246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MRW!$K$3</c:f>
              <c:strCache>
                <c:ptCount val="1"/>
                <c:pt idx="0">
                  <c:v>11.0%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MRW!$G$6:$G$21</c:f>
              <c:numCache>
                <c:ptCount val="1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</c:numCache>
            </c:numRef>
          </c:xVal>
          <c:yVal>
            <c:numRef>
              <c:f>MRW!$K$6:$K$21</c:f>
              <c:numCache>
                <c:ptCount val="16"/>
                <c:pt idx="0">
                  <c:v>0.1373556633365044</c:v>
                </c:pt>
                <c:pt idx="1">
                  <c:v>0.12078898363849344</c:v>
                </c:pt>
                <c:pt idx="2">
                  <c:v>0.1091257836345171</c:v>
                </c:pt>
                <c:pt idx="3">
                  <c:v>0.10052449103656183</c:v>
                </c:pt>
                <c:pt idx="4">
                  <c:v>0.0939616988933689</c:v>
                </c:pt>
                <c:pt idx="5">
                  <c:v>0.08882310652573677</c:v>
                </c:pt>
                <c:pt idx="6">
                  <c:v>0.08471758515164284</c:v>
                </c:pt>
                <c:pt idx="7">
                  <c:v>0.08138421176704429</c:v>
                </c:pt>
                <c:pt idx="8">
                  <c:v>0.07864221111358172</c:v>
                </c:pt>
                <c:pt idx="9">
                  <c:v>0.07636235138134001</c:v>
                </c:pt>
                <c:pt idx="10">
                  <c:v>0.0744497816282596</c:v>
                </c:pt>
                <c:pt idx="11">
                  <c:v>0.07283330492409862</c:v>
                </c:pt>
                <c:pt idx="12">
                  <c:v>0.07145843700814385</c:v>
                </c:pt>
                <c:pt idx="13">
                  <c:v>0.07028277814358319</c:v>
                </c:pt>
                <c:pt idx="14">
                  <c:v>0.06927284579753103</c:v>
                </c:pt>
                <c:pt idx="15">
                  <c:v>0.06840185674713668</c:v>
                </c:pt>
              </c:numCache>
            </c:numRef>
          </c:yVal>
          <c:smooth val="1"/>
        </c:ser>
        <c:axId val="52007780"/>
        <c:axId val="65416837"/>
      </c:scatterChart>
      <c:valAx>
        <c:axId val="52007780"/>
        <c:scaling>
          <c:orientation val="minMax"/>
          <c:max val="40"/>
          <c:min val="1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416837"/>
        <c:crosses val="autoZero"/>
        <c:crossBetween val="midCat"/>
        <c:dispUnits/>
        <c:majorUnit val="5"/>
      </c:valAx>
      <c:valAx>
        <c:axId val="654168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077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"/>
          <c:y val="0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1"/>
          <c:h val="0.99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'MRW-2'!$P$8:$P$23</c:f>
              <c:numCache>
                <c:ptCount val="16"/>
                <c:pt idx="0">
                  <c:v>0.5194429273598631</c:v>
                </c:pt>
                <c:pt idx="1">
                  <c:v>0.47308465315131754</c:v>
                </c:pt>
                <c:pt idx="2">
                  <c:v>0.4267263789427719</c:v>
                </c:pt>
                <c:pt idx="3">
                  <c:v>0.38036810473422633</c:v>
                </c:pt>
                <c:pt idx="4">
                  <c:v>0.3340098305256807</c:v>
                </c:pt>
                <c:pt idx="5">
                  <c:v>0.2876515563171351</c:v>
                </c:pt>
                <c:pt idx="6">
                  <c:v>0.24129328210858958</c:v>
                </c:pt>
                <c:pt idx="7">
                  <c:v>0.1949350079000438</c:v>
                </c:pt>
                <c:pt idx="8">
                  <c:v>0.14857673369149815</c:v>
                </c:pt>
                <c:pt idx="9">
                  <c:v>0.1022184594829525</c:v>
                </c:pt>
                <c:pt idx="10">
                  <c:v>0.05586018527440684</c:v>
                </c:pt>
                <c:pt idx="11">
                  <c:v>0.00950191106586118</c:v>
                </c:pt>
                <c:pt idx="12">
                  <c:v>-0.03685636314268459</c:v>
                </c:pt>
                <c:pt idx="13">
                  <c:v>-0.08321463735123014</c:v>
                </c:pt>
                <c:pt idx="14">
                  <c:v>-0.1295729115597759</c:v>
                </c:pt>
                <c:pt idx="15">
                  <c:v>-0.17593118576832167</c:v>
                </c:pt>
              </c:numCache>
            </c:numRef>
          </c:xVal>
          <c:yVal>
            <c:numRef>
              <c:f>'MRW-2'!$O$8:$O$23</c:f>
              <c:numCache>
                <c:ptCount val="16"/>
                <c:pt idx="0">
                  <c:v>0.9999493818459254</c:v>
                </c:pt>
                <c:pt idx="1">
                  <c:v>0.999423121899942</c:v>
                </c:pt>
                <c:pt idx="2">
                  <c:v>0.9961653998429555</c:v>
                </c:pt>
                <c:pt idx="3">
                  <c:v>0.983328240698951</c:v>
                </c:pt>
                <c:pt idx="4">
                  <c:v>0.948280312328667</c:v>
                </c:pt>
                <c:pt idx="5">
                  <c:v>0.8774863586019473</c:v>
                </c:pt>
                <c:pt idx="6">
                  <c:v>0.7660826721110267</c:v>
                </c:pt>
                <c:pt idx="7">
                  <c:v>0.6237695350867873</c:v>
                </c:pt>
                <c:pt idx="8">
                  <c:v>0.4712137444895472</c:v>
                </c:pt>
                <c:pt idx="9">
                  <c:v>0.33022978267278535</c:v>
                </c:pt>
                <c:pt idx="10">
                  <c:v>0.21539098608776852</c:v>
                </c:pt>
                <c:pt idx="11">
                  <c:v>0.13141716361731182</c:v>
                </c:pt>
                <c:pt idx="12">
                  <c:v>0.07544457481211231</c:v>
                </c:pt>
                <c:pt idx="13">
                  <c:v>0.04099753445746712</c:v>
                </c:pt>
                <c:pt idx="14">
                  <c:v>0.02121075292937935</c:v>
                </c:pt>
                <c:pt idx="15">
                  <c:v>0.010504449194583154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'MRW-2'!$Q$6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'MRW-2'!$R$6</c:f>
              <c:numCache>
                <c:ptCount val="1"/>
                <c:pt idx="0">
                  <c:v>0.11784729385505488</c:v>
                </c:pt>
              </c:numCache>
            </c:numRef>
          </c:yVal>
          <c:smooth val="1"/>
        </c:ser>
        <c:axId val="51880622"/>
        <c:axId val="64272415"/>
      </c:scatterChart>
      <c:valAx>
        <c:axId val="5188062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272415"/>
        <c:crosses val="autoZero"/>
        <c:crossBetween val="midCat"/>
        <c:dispUnits/>
      </c:valAx>
      <c:valAx>
        <c:axId val="64272415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18806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545"/>
          <c:h val="0.88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'MRW-2'!$E$1:$L$1</c:f>
              <c:numCache>
                <c:ptCount val="8"/>
                <c:pt idx="0">
                  <c:v>0.05</c:v>
                </c:pt>
                <c:pt idx="1">
                  <c:v>0.052500000000000005</c:v>
                </c:pt>
                <c:pt idx="2">
                  <c:v>0.05500000000000001</c:v>
                </c:pt>
                <c:pt idx="3">
                  <c:v>0.05750000000000001</c:v>
                </c:pt>
                <c:pt idx="4">
                  <c:v>0.06000000000000001</c:v>
                </c:pt>
                <c:pt idx="5">
                  <c:v>0.06250000000000001</c:v>
                </c:pt>
                <c:pt idx="6">
                  <c:v>0.06500000000000002</c:v>
                </c:pt>
                <c:pt idx="7">
                  <c:v>0.06750000000000002</c:v>
                </c:pt>
              </c:numCache>
            </c:numRef>
          </c:cat>
          <c:val>
            <c:numRef>
              <c:f>'MRW-2'!$E$9:$L$9</c:f>
              <c:numCache>
                <c:ptCount val="8"/>
                <c:pt idx="0">
                  <c:v>0.8821527061449451</c:v>
                </c:pt>
                <c:pt idx="1">
                  <c:v>0.801787783652069</c:v>
                </c:pt>
                <c:pt idx="2">
                  <c:v>0.7005378821883648</c:v>
                </c:pt>
                <c:pt idx="3">
                  <c:v>0.586359960456002</c:v>
                </c:pt>
                <c:pt idx="4">
                  <c:v>0.46952439989481576</c:v>
                </c:pt>
                <c:pt idx="5">
                  <c:v>0.359763299936639</c:v>
                </c:pt>
                <c:pt idx="6">
                  <c:v>0.26414056977656886</c:v>
                </c:pt>
                <c:pt idx="7">
                  <c:v>0.186217140634381</c:v>
                </c:pt>
              </c:numCache>
            </c:numRef>
          </c:val>
          <c:smooth val="1"/>
        </c:ser>
        <c:marker val="1"/>
        <c:axId val="41580824"/>
        <c:axId val="38683097"/>
      </c:lineChart>
      <c:catAx>
        <c:axId val="41580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Withdrawal Rates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683097"/>
        <c:crosses val="autoZero"/>
        <c:auto val="1"/>
        <c:lblOffset val="100"/>
        <c:noMultiLvlLbl val="0"/>
      </c:catAx>
      <c:valAx>
        <c:axId val="38683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Survival Rates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8082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0.08225</cdr:y>
    </cdr:from>
    <cdr:to>
      <cdr:x>0.88675</cdr:x>
      <cdr:y>0.1755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095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"Safe" Rates of Withdrawal</a:t>
          </a:r>
        </a:p>
      </cdr:txBody>
    </cdr:sp>
  </cdr:relSizeAnchor>
  <cdr:relSizeAnchor xmlns:cdr="http://schemas.openxmlformats.org/drawingml/2006/chartDrawing">
    <cdr:from>
      <cdr:x>0.808</cdr:x>
      <cdr:y>0.857</cdr:y>
    </cdr:from>
    <cdr:to>
      <cdr:x>0.98325</cdr:x>
      <cdr:y>0.93175</cdr:y>
    </cdr:to>
    <cdr:sp>
      <cdr:nvSpPr>
        <cdr:cNvPr id="2" name="TextBox 2"/>
        <cdr:cNvSpPr txBox="1">
          <a:spLocks noChangeArrowheads="1"/>
        </cdr:cNvSpPr>
      </cdr:nvSpPr>
      <cdr:spPr>
        <a:xfrm>
          <a:off x="2676525" y="2181225"/>
          <a:ext cx="581025" cy="19050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n = Years</a:t>
          </a:r>
        </a:p>
      </cdr:txBody>
    </cdr:sp>
  </cdr:relSizeAnchor>
  <cdr:relSizeAnchor xmlns:cdr="http://schemas.openxmlformats.org/drawingml/2006/chartDrawing">
    <cdr:from>
      <cdr:x>0.0205</cdr:x>
      <cdr:y>0.0155</cdr:y>
    </cdr:from>
    <cdr:to>
      <cdr:x>0.0435</cdr:x>
      <cdr:y>0.09025</cdr:y>
    </cdr:to>
    <cdr:sp textlink="MRW!$R$4">
      <cdr:nvSpPr>
        <cdr:cNvPr id="3" name="TextBox 3"/>
        <cdr:cNvSpPr txBox="1">
          <a:spLocks noChangeArrowheads="1"/>
        </cdr:cNvSpPr>
      </cdr:nvSpPr>
      <cdr:spPr>
        <a:xfrm>
          <a:off x="66675" y="381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b53d6049-c936-4371-b673-b51fe9e25267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0.10325</cdr:x>
      <cdr:y>0.0115</cdr:y>
    </cdr:from>
    <cdr:to>
      <cdr:x>0.10325</cdr:x>
      <cdr:y>0.0115</cdr:y>
    </cdr:to>
    <cdr:sp>
      <cdr:nvSpPr>
        <cdr:cNvPr id="4" name="TextBox 5"/>
        <cdr:cNvSpPr txBox="1">
          <a:spLocks noChangeArrowheads="1"/>
        </cdr:cNvSpPr>
      </cdr:nvSpPr>
      <cdr:spPr>
        <a:xfrm>
          <a:off x="333375" y="285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Return =</a:t>
          </a:r>
        </a:p>
      </cdr:txBody>
    </cdr:sp>
  </cdr:relSizeAnchor>
  <cdr:relSizeAnchor xmlns:cdr="http://schemas.openxmlformats.org/drawingml/2006/chartDrawing">
    <cdr:from>
      <cdr:x>0.08425</cdr:x>
      <cdr:y>0.013</cdr:y>
    </cdr:from>
    <cdr:to>
      <cdr:x>0.271</cdr:x>
      <cdr:y>0.09125</cdr:y>
    </cdr:to>
    <cdr:sp>
      <cdr:nvSpPr>
        <cdr:cNvPr id="5" name="TextBox 6"/>
        <cdr:cNvSpPr txBox="1">
          <a:spLocks noChangeArrowheads="1"/>
        </cdr:cNvSpPr>
      </cdr:nvSpPr>
      <cdr:spPr>
        <a:xfrm>
          <a:off x="276225" y="28575"/>
          <a:ext cx="6191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Returns =</a:t>
          </a:r>
        </a:p>
      </cdr:txBody>
    </cdr:sp>
  </cdr:relSizeAnchor>
  <cdr:relSizeAnchor xmlns:cdr="http://schemas.openxmlformats.org/drawingml/2006/chartDrawing">
    <cdr:from>
      <cdr:x>0.11825</cdr:x>
      <cdr:y>0.79275</cdr:y>
    </cdr:from>
    <cdr:to>
      <cdr:x>0.77625</cdr:x>
      <cdr:y>0.86</cdr:y>
    </cdr:to>
    <cdr:sp textlink="MRW!$P$4">
      <cdr:nvSpPr>
        <cdr:cNvPr id="6" name="TextBox 7"/>
        <cdr:cNvSpPr txBox="1">
          <a:spLocks noChangeArrowheads="1"/>
        </cdr:cNvSpPr>
      </cdr:nvSpPr>
      <cdr:spPr>
        <a:xfrm>
          <a:off x="390525" y="2019300"/>
          <a:ext cx="218122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ce46db1c-5270-4e0a-8eb2-24c94762065c}" type="TxLink">
            <a:rPr lang="en-US" cap="none" sz="800" b="0" i="0" u="none" baseline="0">
              <a:latin typeface="Arial"/>
              <a:ea typeface="Arial"/>
              <a:cs typeface="Arial"/>
            </a:rPr>
            <a:t>Standard Deviation = 20.0%   Inflation = 3.0%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2</xdr:col>
      <xdr:colOff>438150</xdr:colOff>
      <xdr:row>13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62125"/>
          <a:ext cx="15049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28575</xdr:colOff>
      <xdr:row>2</xdr:row>
      <xdr:rowOff>76200</xdr:rowOff>
    </xdr:from>
    <xdr:to>
      <xdr:col>5</xdr:col>
      <xdr:colOff>476250</xdr:colOff>
      <xdr:row>20</xdr:row>
      <xdr:rowOff>57150</xdr:rowOff>
    </xdr:to>
    <xdr:graphicFrame>
      <xdr:nvGraphicFramePr>
        <xdr:cNvPr id="2" name="Chart 2"/>
        <xdr:cNvGraphicFramePr/>
      </xdr:nvGraphicFramePr>
      <xdr:xfrm>
        <a:off x="28575" y="4095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95250</xdr:colOff>
      <xdr:row>14</xdr:row>
      <xdr:rowOff>9525</xdr:rowOff>
    </xdr:from>
    <xdr:to>
      <xdr:col>12</xdr:col>
      <xdr:colOff>409575</xdr:colOff>
      <xdr:row>20</xdr:row>
      <xdr:rowOff>142875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057400"/>
          <a:ext cx="847725" cy="990600"/>
        </a:xfrm>
        <a:prstGeom prst="rect">
          <a:avLst/>
        </a:prstGeom>
        <a:noFill/>
        <a:ln w="0" cmpd="sng">
          <a:solidFill>
            <a:srgbClr val="80008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0.56075</cdr:x>
      <cdr:y>0.4155</cdr:y>
    </cdr:from>
    <cdr:to>
      <cdr:x>0.9785</cdr:x>
      <cdr:y>0.62625</cdr:y>
    </cdr:to>
    <cdr:sp textlink="'MRW-2'!$O$4">
      <cdr:nvSpPr>
        <cdr:cNvPr id="1" name="TextBox 1"/>
        <cdr:cNvSpPr txBox="1">
          <a:spLocks noChangeArrowheads="1"/>
        </cdr:cNvSpPr>
      </cdr:nvSpPr>
      <cdr:spPr>
        <a:xfrm>
          <a:off x="2209800" y="800100"/>
          <a:ext cx="16478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3df7fae-b122-4947-acd9-f2428d92c010}" type="TxLink">
            <a:rPr lang="en-US" cap="none" sz="800" b="1" i="0" u="none" baseline="0">
              <a:latin typeface="Arial"/>
              <a:ea typeface="Arial"/>
              <a:cs typeface="Arial"/>
            </a:rPr>
            <a:t>Fraction of portfolios less than u% of buy-and-hold</a:t>
          </a:fld>
        </a:p>
      </cdr:txBody>
    </cdr:sp>
  </cdr:relSizeAnchor>
  <cdr:relSizeAnchor xmlns:cdr="http://schemas.openxmlformats.org/drawingml/2006/chartDrawing">
    <cdr:from>
      <cdr:x>0.002</cdr:x>
      <cdr:y>0</cdr:y>
    </cdr:from>
    <cdr:to>
      <cdr:x>0.676</cdr:x>
      <cdr:y>0.08825</cdr:y>
    </cdr:to>
    <cdr:sp textlink="'MRW-2'!$O$3">
      <cdr:nvSpPr>
        <cdr:cNvPr id="2" name="TextBox 2"/>
        <cdr:cNvSpPr txBox="1">
          <a:spLocks noChangeArrowheads="1"/>
        </cdr:cNvSpPr>
      </cdr:nvSpPr>
      <cdr:spPr>
        <a:xfrm>
          <a:off x="0" y="0"/>
          <a:ext cx="2657475" cy="171450"/>
        </a:xfrm>
        <a:prstGeom prst="rect">
          <a:avLst/>
        </a:prstGeom>
        <a:solidFill>
          <a:srgbClr val="FFFFFF"/>
        </a:solidFill>
        <a:ln w="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b443ec23-19bd-4003-85b2-74c952d62ef8}" type="TxLink">
            <a:rPr lang="en-US" cap="none" sz="800" b="0" i="0" u="none" baseline="0">
              <a:latin typeface="Arial"/>
              <a:ea typeface="Arial"/>
              <a:cs typeface="Arial"/>
            </a:rPr>
            <a:t>Return=9.0%, SD=20.0%, i=3.0%, W=5.0%, n=30 years</a:t>
          </a:fld>
        </a:p>
      </cdr:txBody>
    </cdr:sp>
  </cdr:relSizeAnchor>
  <cdr:relSizeAnchor xmlns:cdr="http://schemas.openxmlformats.org/drawingml/2006/chartDrawing">
    <cdr:from>
      <cdr:x>0.943</cdr:x>
      <cdr:y>0.73425</cdr:y>
    </cdr:from>
    <cdr:to>
      <cdr:x>1</cdr:x>
      <cdr:y>0.83725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0" y="1419225"/>
          <a:ext cx="238125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u%</a:t>
          </a:r>
        </a:p>
      </cdr:txBody>
    </cdr:sp>
  </cdr:relSizeAnchor>
  <cdr:relSizeAnchor xmlns:cdr="http://schemas.openxmlformats.org/drawingml/2006/chartDrawing">
    <cdr:from>
      <cdr:x>0.615</cdr:x>
      <cdr:y>0.682</cdr:y>
    </cdr:from>
    <cdr:to>
      <cdr:x>0.883</cdr:x>
      <cdr:y>0.77025</cdr:y>
    </cdr:to>
    <cdr:sp textlink="'MRW-2'!$Q$5">
      <cdr:nvSpPr>
        <cdr:cNvPr id="4" name="TextBox 4"/>
        <cdr:cNvSpPr txBox="1">
          <a:spLocks noChangeArrowheads="1"/>
        </cdr:cNvSpPr>
      </cdr:nvSpPr>
      <cdr:spPr>
        <a:xfrm>
          <a:off x="2419350" y="1323975"/>
          <a:ext cx="1057275" cy="171450"/>
        </a:xfrm>
        <a:prstGeom prst="rect">
          <a:avLst/>
        </a:prstGeom>
        <a:solidFill>
          <a:srgbClr val="FFFFFF"/>
        </a:solidFill>
        <a:ln w="0" cmpd="sng">
          <a:solidFill>
            <a:srgbClr val="FF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fld id="{fcc2db66-183b-4345-95b2-66b1212c65e6}" type="TxLink">
            <a:rPr lang="en-US" cap="none" sz="800" b="0" i="0" u="none" baseline="0">
              <a:latin typeface="Arial"/>
              <a:ea typeface="Arial"/>
              <a:cs typeface="Arial"/>
            </a:rPr>
            <a:t>11.8% do not survive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</cdr:y>
    </cdr:from>
    <cdr:to>
      <cdr:x>0.588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0"/>
          <a:ext cx="0" cy="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Probability of Survival 
versus 
Withdrawal Rate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9</xdr:row>
      <xdr:rowOff>28575</xdr:rowOff>
    </xdr:from>
    <xdr:to>
      <xdr:col>11</xdr:col>
      <xdr:colOff>428625</xdr:colOff>
      <xdr:row>22</xdr:row>
      <xdr:rowOff>114300</xdr:rowOff>
    </xdr:to>
    <xdr:graphicFrame>
      <xdr:nvGraphicFramePr>
        <xdr:cNvPr id="1" name="Chart 6"/>
        <xdr:cNvGraphicFramePr/>
      </xdr:nvGraphicFramePr>
      <xdr:xfrm>
        <a:off x="3228975" y="1381125"/>
        <a:ext cx="39433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9</xdr:row>
      <xdr:rowOff>38100</xdr:rowOff>
    </xdr:from>
    <xdr:to>
      <xdr:col>4</xdr:col>
      <xdr:colOff>152400</xdr:colOff>
      <xdr:row>21</xdr:row>
      <xdr:rowOff>28575</xdr:rowOff>
    </xdr:to>
    <xdr:graphicFrame>
      <xdr:nvGraphicFramePr>
        <xdr:cNvPr id="2" name="Chart 1"/>
        <xdr:cNvGraphicFramePr/>
      </xdr:nvGraphicFramePr>
      <xdr:xfrm>
        <a:off x="28575" y="1390650"/>
        <a:ext cx="3133725" cy="170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104775</xdr:rowOff>
    </xdr:from>
    <xdr:to>
      <xdr:col>4</xdr:col>
      <xdr:colOff>0</xdr:colOff>
      <xdr:row>0</xdr:row>
      <xdr:rowOff>104775</xdr:rowOff>
    </xdr:to>
    <xdr:sp>
      <xdr:nvSpPr>
        <xdr:cNvPr id="3" name="Line 2"/>
        <xdr:cNvSpPr>
          <a:spLocks/>
        </xdr:cNvSpPr>
      </xdr:nvSpPr>
      <xdr:spPr>
        <a:xfrm>
          <a:off x="2000250" y="104775"/>
          <a:ext cx="10096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66675</xdr:rowOff>
    </xdr:from>
    <xdr:to>
      <xdr:col>3</xdr:col>
      <xdr:colOff>314325</xdr:colOff>
      <xdr:row>28</xdr:row>
      <xdr:rowOff>9525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43100" y="3133725"/>
          <a:ext cx="847725" cy="990600"/>
        </a:xfrm>
        <a:prstGeom prst="rect">
          <a:avLst/>
        </a:prstGeom>
        <a:noFill/>
        <a:ln w="0" cmpd="sng">
          <a:solidFill>
            <a:srgbClr val="80008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J30" sqref="J30"/>
    </sheetView>
  </sheetViews>
  <sheetFormatPr defaultColWidth="9.33203125" defaultRowHeight="11.25"/>
  <cols>
    <col min="5" max="5" width="12.83203125" style="0" customWidth="1"/>
    <col min="8" max="8" width="10.5" style="0" customWidth="1"/>
    <col min="9" max="9" width="10.16015625" style="0" customWidth="1"/>
  </cols>
  <sheetData>
    <row r="1" spans="1:14" ht="12.75" thickBot="1" thickTop="1">
      <c r="A1" s="44"/>
      <c r="B1" s="44"/>
      <c r="C1" s="44"/>
      <c r="D1" s="44"/>
      <c r="E1" s="45"/>
      <c r="F1" s="45"/>
      <c r="G1" s="1"/>
      <c r="H1" s="46" t="s">
        <v>21</v>
      </c>
      <c r="I1" s="47">
        <v>0.2</v>
      </c>
      <c r="J1" s="48" t="str">
        <f>"  so s = "&amp;TEXT(I1,"0.000")</f>
        <v>  so s = 0.200</v>
      </c>
      <c r="K1" s="45"/>
      <c r="L1" s="45"/>
      <c r="M1" s="44"/>
      <c r="N1" s="19"/>
    </row>
    <row r="2" spans="1:14" ht="13.5" thickBot="1" thickTop="1">
      <c r="A2" s="49"/>
      <c r="B2" s="50" t="s">
        <v>24</v>
      </c>
      <c r="C2" s="51" t="s">
        <v>25</v>
      </c>
      <c r="D2" s="49"/>
      <c r="E2" s="49"/>
      <c r="F2" s="49"/>
      <c r="G2" s="6"/>
      <c r="H2" s="52" t="s">
        <v>22</v>
      </c>
      <c r="I2" s="7">
        <v>0.03</v>
      </c>
      <c r="J2" s="48" t="str">
        <f>"  so i = "&amp;TEXT(I2,"0.000")</f>
        <v>  so i = 0.030</v>
      </c>
      <c r="K2" s="45"/>
      <c r="L2" s="45"/>
      <c r="M2" s="49"/>
      <c r="N2" s="19"/>
    </row>
    <row r="3" spans="1:14" ht="11.25">
      <c r="A3" s="53"/>
      <c r="B3" s="53"/>
      <c r="C3" s="53"/>
      <c r="D3" s="53"/>
      <c r="E3" s="53"/>
      <c r="F3" s="53"/>
      <c r="G3" s="54" t="s">
        <v>28</v>
      </c>
      <c r="H3" s="55">
        <f>D22</f>
        <v>0.05</v>
      </c>
      <c r="I3" s="56">
        <f>H3+$F$22</f>
        <v>0.07</v>
      </c>
      <c r="J3" s="57">
        <f>I3+$F$22</f>
        <v>0.09000000000000001</v>
      </c>
      <c r="K3" s="58">
        <f>J3+$F$22</f>
        <v>0.11000000000000001</v>
      </c>
      <c r="L3" s="53"/>
      <c r="M3" s="53"/>
      <c r="N3" s="19"/>
    </row>
    <row r="4" spans="1:19" ht="11.25">
      <c r="A4" s="53"/>
      <c r="B4" s="53"/>
      <c r="C4" s="53"/>
      <c r="D4" s="53"/>
      <c r="E4" s="53"/>
      <c r="F4" s="53"/>
      <c r="G4" s="34"/>
      <c r="H4" s="59">
        <f>EXP(H$3-$I$1^2/2)</f>
        <v>1.030454533953517</v>
      </c>
      <c r="I4" s="59">
        <f>EXP(I$3-$I$1^2/2)</f>
        <v>1.0512710963760241</v>
      </c>
      <c r="J4" s="59">
        <f>EXP(J$3-$I$1^2/2)</f>
        <v>1.0725081812542165</v>
      </c>
      <c r="K4" s="59">
        <f>EXP(K$3-$I$1^2/2)</f>
        <v>1.0941742837052104</v>
      </c>
      <c r="L4" s="53"/>
      <c r="M4" s="53"/>
      <c r="N4" s="19"/>
      <c r="P4" s="37" t="str">
        <f>"Standard Deviation = "&amp;TEXT(I1,"0.0%")&amp;"   Inflation = "&amp;TEXT(I2,"0.0%")</f>
        <v>Standard Deviation = 20.0%   Inflation = 3.0%</v>
      </c>
      <c r="Q4" s="37"/>
      <c r="R4" s="37"/>
      <c r="S4" s="37"/>
    </row>
    <row r="5" spans="1:14" ht="11.25">
      <c r="A5" s="53"/>
      <c r="B5" s="53"/>
      <c r="C5" s="53"/>
      <c r="D5" s="53"/>
      <c r="E5" s="53"/>
      <c r="F5" s="53"/>
      <c r="G5" s="60" t="s">
        <v>23</v>
      </c>
      <c r="H5" s="61">
        <f>(1+$I$2)/H4</f>
        <v>0.9995588995549634</v>
      </c>
      <c r="I5" s="61">
        <f>(1+$I$2)/I4</f>
        <v>0.9797663072357354</v>
      </c>
      <c r="J5" s="61">
        <f>(1+$I$2)/J4</f>
        <v>0.9603656345031266</v>
      </c>
      <c r="K5" s="61">
        <f>(1+$I$2)/K4</f>
        <v>0.9413491208293651</v>
      </c>
      <c r="L5" s="53"/>
      <c r="M5" s="53"/>
      <c r="N5" s="19"/>
    </row>
    <row r="6" spans="1:14" ht="11.25">
      <c r="A6" s="53"/>
      <c r="B6" s="53"/>
      <c r="C6" s="53"/>
      <c r="D6" s="53"/>
      <c r="E6" s="53"/>
      <c r="F6" s="53"/>
      <c r="G6" s="62">
        <v>10</v>
      </c>
      <c r="H6" s="63">
        <f aca="true" t="shared" si="0" ref="H6:K21">(1/H$5-1)/(1-H$5^$G6)</f>
        <v>0.1002428729314309</v>
      </c>
      <c r="I6" s="64">
        <f>(1/I$5-1)/(1-I$5^$G6)</f>
        <v>0.11170637520941425</v>
      </c>
      <c r="J6" s="65">
        <f>(1/J$5-1)/(1-J$5^$G6)</f>
        <v>0.12407170170938386</v>
      </c>
      <c r="K6" s="66">
        <f>(1/K$5-1)/(1-K$5^$G6)</f>
        <v>0.1373556633365044</v>
      </c>
      <c r="L6" s="53"/>
      <c r="M6" s="53"/>
      <c r="N6" s="19"/>
    </row>
    <row r="7" spans="1:14" ht="11.25">
      <c r="A7" s="53"/>
      <c r="B7" s="53"/>
      <c r="C7" s="53"/>
      <c r="D7" s="53"/>
      <c r="E7" s="53"/>
      <c r="F7" s="53"/>
      <c r="G7" s="67">
        <f aca="true" t="shared" si="1" ref="G7:G21">G6+2</f>
        <v>12</v>
      </c>
      <c r="H7" s="68">
        <f t="shared" si="0"/>
        <v>0.08357256152570065</v>
      </c>
      <c r="I7" s="69">
        <f t="shared" si="0"/>
        <v>0.09493837768090012</v>
      </c>
      <c r="J7" s="70">
        <f t="shared" si="0"/>
        <v>0.10733886613255425</v>
      </c>
      <c r="K7" s="71">
        <f t="shared" si="0"/>
        <v>0.12078898363849344</v>
      </c>
      <c r="L7" s="53"/>
      <c r="M7" s="53"/>
      <c r="N7" s="19"/>
    </row>
    <row r="8" spans="1:14" ht="11.25">
      <c r="A8" s="53"/>
      <c r="B8" s="53"/>
      <c r="C8" s="53"/>
      <c r="D8" s="53"/>
      <c r="E8" s="53"/>
      <c r="F8" s="53"/>
      <c r="G8" s="67">
        <f t="shared" si="1"/>
        <v>14</v>
      </c>
      <c r="H8" s="68">
        <f t="shared" si="0"/>
        <v>0.0716652055072208</v>
      </c>
      <c r="I8" s="69">
        <f t="shared" si="0"/>
        <v>0.08298121754035032</v>
      </c>
      <c r="J8" s="70">
        <f t="shared" si="0"/>
        <v>0.09546446369172636</v>
      </c>
      <c r="K8" s="71">
        <f t="shared" si="0"/>
        <v>0.1091257836345171</v>
      </c>
      <c r="L8" s="53"/>
      <c r="M8" s="53"/>
      <c r="N8" s="19"/>
    </row>
    <row r="9" spans="1:14" ht="11.25">
      <c r="A9" s="53"/>
      <c r="B9" s="53"/>
      <c r="C9" s="53"/>
      <c r="D9" s="53"/>
      <c r="E9" s="53"/>
      <c r="F9" s="53"/>
      <c r="G9" s="67">
        <f t="shared" si="1"/>
        <v>16</v>
      </c>
      <c r="H9" s="68">
        <f t="shared" si="0"/>
        <v>0.0627346966057622</v>
      </c>
      <c r="I9" s="69">
        <f t="shared" si="0"/>
        <v>0.07403079287495379</v>
      </c>
      <c r="J9" s="70">
        <f t="shared" si="0"/>
        <v>0.08662600994952195</v>
      </c>
      <c r="K9" s="71">
        <f t="shared" si="0"/>
        <v>0.10052449103656183</v>
      </c>
      <c r="L9" s="53"/>
      <c r="M9" s="53"/>
      <c r="N9" s="19"/>
    </row>
    <row r="10" spans="1:14" ht="11.25">
      <c r="A10" s="53"/>
      <c r="B10" s="53"/>
      <c r="C10" s="53"/>
      <c r="D10" s="53"/>
      <c r="E10" s="53"/>
      <c r="F10" s="53"/>
      <c r="G10" s="67">
        <f t="shared" si="1"/>
        <v>18</v>
      </c>
      <c r="H10" s="68">
        <f t="shared" si="0"/>
        <v>0.05578875244897812</v>
      </c>
      <c r="I10" s="69">
        <f t="shared" si="0"/>
        <v>0.06708481977031175</v>
      </c>
      <c r="J10" s="70">
        <f t="shared" si="0"/>
        <v>0.07981094164420952</v>
      </c>
      <c r="K10" s="71">
        <f t="shared" si="0"/>
        <v>0.0939616988933689</v>
      </c>
      <c r="L10" s="53"/>
      <c r="M10" s="53"/>
      <c r="N10" s="19"/>
    </row>
    <row r="11" spans="1:14" ht="11.25">
      <c r="A11" s="53"/>
      <c r="B11" s="53"/>
      <c r="C11" s="53"/>
      <c r="D11" s="53"/>
      <c r="E11" s="53"/>
      <c r="F11" s="53"/>
      <c r="G11" s="67">
        <f t="shared" si="1"/>
        <v>20</v>
      </c>
      <c r="H11" s="68">
        <f t="shared" si="0"/>
        <v>0.05023200361345674</v>
      </c>
      <c r="I11" s="69">
        <f t="shared" si="0"/>
        <v>0.06154192335241372</v>
      </c>
      <c r="J11" s="70">
        <f t="shared" si="0"/>
        <v>0.07441165843855453</v>
      </c>
      <c r="K11" s="71">
        <f t="shared" si="0"/>
        <v>0.08882310652573677</v>
      </c>
      <c r="L11" s="53"/>
      <c r="M11" s="53"/>
      <c r="N11" s="19"/>
    </row>
    <row r="12" spans="1:14" ht="11.25">
      <c r="A12" s="53"/>
      <c r="B12" s="53"/>
      <c r="C12" s="53"/>
      <c r="D12" s="53"/>
      <c r="E12" s="53"/>
      <c r="F12" s="53"/>
      <c r="G12" s="67">
        <f t="shared" si="1"/>
        <v>22</v>
      </c>
      <c r="H12" s="68">
        <f t="shared" si="0"/>
        <v>0.045685578647936695</v>
      </c>
      <c r="I12" s="69">
        <f t="shared" si="0"/>
        <v>0.05701940644780858</v>
      </c>
      <c r="J12" s="70">
        <f t="shared" si="0"/>
        <v>0.07004145121252528</v>
      </c>
      <c r="K12" s="71">
        <f t="shared" si="0"/>
        <v>0.08471758515164284</v>
      </c>
      <c r="L12" s="53"/>
      <c r="M12" s="53"/>
      <c r="N12" s="19"/>
    </row>
    <row r="13" spans="1:14" ht="11.25">
      <c r="A13" s="53"/>
      <c r="B13" s="53"/>
      <c r="C13" s="53"/>
      <c r="D13" s="53"/>
      <c r="E13" s="53"/>
      <c r="F13" s="53"/>
      <c r="G13" s="67">
        <f t="shared" si="1"/>
        <v>24</v>
      </c>
      <c r="H13" s="68">
        <f t="shared" si="0"/>
        <v>0.041896896584907244</v>
      </c>
      <c r="I13" s="69">
        <f t="shared" si="0"/>
        <v>0.05326213391793543</v>
      </c>
      <c r="J13" s="70">
        <f t="shared" si="0"/>
        <v>0.06644246639759933</v>
      </c>
      <c r="K13" s="71">
        <f t="shared" si="0"/>
        <v>0.08138421176704429</v>
      </c>
      <c r="L13" s="53"/>
      <c r="M13" s="53"/>
      <c r="N13" s="19"/>
    </row>
    <row r="14" spans="1:14" ht="11.25">
      <c r="A14" s="53"/>
      <c r="B14" s="53"/>
      <c r="C14" s="53"/>
      <c r="D14" s="53"/>
      <c r="E14" s="53"/>
      <c r="F14" s="53"/>
      <c r="G14" s="67">
        <f t="shared" si="1"/>
        <v>26</v>
      </c>
      <c r="H14" s="68">
        <f t="shared" si="0"/>
        <v>0.03869109367763178</v>
      </c>
      <c r="I14" s="69">
        <f t="shared" si="0"/>
        <v>0.05009347038143702</v>
      </c>
      <c r="J14" s="70">
        <f t="shared" si="0"/>
        <v>0.06343614846604141</v>
      </c>
      <c r="K14" s="71">
        <f t="shared" si="0"/>
        <v>0.07864221111358172</v>
      </c>
      <c r="L14" s="53"/>
      <c r="M14" s="53"/>
      <c r="N14" s="19"/>
    </row>
    <row r="15" spans="1:14" ht="11.25">
      <c r="A15" s="53"/>
      <c r="B15" s="53"/>
      <c r="C15" s="53"/>
      <c r="D15" s="53"/>
      <c r="E15" s="53"/>
      <c r="F15" s="53"/>
      <c r="G15" s="67">
        <f t="shared" si="1"/>
        <v>28</v>
      </c>
      <c r="H15" s="68">
        <f t="shared" si="0"/>
        <v>0.035943267249868224</v>
      </c>
      <c r="I15" s="69">
        <f t="shared" si="0"/>
        <v>0.04738724463037296</v>
      </c>
      <c r="J15" s="70">
        <f t="shared" si="0"/>
        <v>0.06089492148004071</v>
      </c>
      <c r="K15" s="71">
        <f t="shared" si="0"/>
        <v>0.07636235138134001</v>
      </c>
      <c r="L15" s="53"/>
      <c r="M15" s="53"/>
      <c r="N15" s="19"/>
    </row>
    <row r="16" spans="1:14" ht="11.25">
      <c r="A16" s="53"/>
      <c r="B16" s="53"/>
      <c r="C16" s="53"/>
      <c r="D16" s="53"/>
      <c r="E16" s="53"/>
      <c r="F16" s="53"/>
      <c r="G16" s="67">
        <f t="shared" si="1"/>
        <v>30</v>
      </c>
      <c r="H16" s="68">
        <f t="shared" si="0"/>
        <v>0.033561822005705226</v>
      </c>
      <c r="I16" s="69">
        <f t="shared" si="0"/>
        <v>0.04505092828308706</v>
      </c>
      <c r="J16" s="70">
        <f t="shared" si="0"/>
        <v>0.058725198122414446</v>
      </c>
      <c r="K16" s="71">
        <f t="shared" si="0"/>
        <v>0.0744497816282596</v>
      </c>
      <c r="L16" s="53"/>
      <c r="M16" s="53"/>
      <c r="N16" s="19"/>
    </row>
    <row r="17" spans="1:14" ht="11.25">
      <c r="A17" s="53"/>
      <c r="B17" s="53"/>
      <c r="C17" s="53"/>
      <c r="D17" s="53"/>
      <c r="E17" s="53"/>
      <c r="F17" s="53"/>
      <c r="G17" s="67">
        <f t="shared" si="1"/>
        <v>32</v>
      </c>
      <c r="H17" s="68">
        <f t="shared" si="0"/>
        <v>0.03147806147320798</v>
      </c>
      <c r="I17" s="69">
        <f t="shared" si="0"/>
        <v>0.043015122445099585</v>
      </c>
      <c r="J17" s="70">
        <f t="shared" si="0"/>
        <v>0.05685676041939235</v>
      </c>
      <c r="K17" s="71">
        <f t="shared" si="0"/>
        <v>0.07283330492409862</v>
      </c>
      <c r="L17" s="53"/>
      <c r="M17" s="53"/>
      <c r="N17" s="19"/>
    </row>
    <row r="18" spans="1:14" ht="11.25">
      <c r="A18" s="53"/>
      <c r="B18" s="53"/>
      <c r="C18" s="53"/>
      <c r="D18" s="53"/>
      <c r="E18" s="53"/>
      <c r="F18" s="53"/>
      <c r="G18" s="67">
        <f t="shared" si="1"/>
        <v>34</v>
      </c>
      <c r="H18" s="68">
        <f t="shared" si="0"/>
        <v>0.02963945305619148</v>
      </c>
      <c r="I18" s="69">
        <f t="shared" si="0"/>
        <v>0.041226754962862606</v>
      </c>
      <c r="J18" s="70">
        <f t="shared" si="0"/>
        <v>0.055235888502091775</v>
      </c>
      <c r="K18" s="71">
        <f t="shared" si="0"/>
        <v>0.07145843700814385</v>
      </c>
      <c r="L18" s="53"/>
      <c r="M18" s="53"/>
      <c r="N18" s="19"/>
    </row>
    <row r="19" spans="1:14" ht="11.25">
      <c r="A19" s="53"/>
      <c r="B19" s="53"/>
      <c r="C19" s="53"/>
      <c r="D19" s="53"/>
      <c r="E19" s="53"/>
      <c r="F19" s="53"/>
      <c r="G19" s="67">
        <f t="shared" si="1"/>
        <v>36</v>
      </c>
      <c r="H19" s="68">
        <f t="shared" si="0"/>
        <v>0.028005138068732987</v>
      </c>
      <c r="I19" s="69">
        <f t="shared" si="0"/>
        <v>0.03964454526195045</v>
      </c>
      <c r="J19" s="70">
        <f t="shared" si="0"/>
        <v>0.05382077982150929</v>
      </c>
      <c r="K19" s="71">
        <f t="shared" si="0"/>
        <v>0.07028277814358319</v>
      </c>
      <c r="L19" s="53"/>
      <c r="M19" s="53"/>
      <c r="N19" s="19"/>
    </row>
    <row r="20" spans="1:14" ht="11.25">
      <c r="A20" s="53"/>
      <c r="B20" s="53"/>
      <c r="C20" s="53"/>
      <c r="D20" s="53"/>
      <c r="E20" s="53"/>
      <c r="F20" s="53"/>
      <c r="G20" s="67">
        <f t="shared" si="1"/>
        <v>38</v>
      </c>
      <c r="H20" s="68">
        <f t="shared" si="0"/>
        <v>0.026542859653524303</v>
      </c>
      <c r="I20" s="69">
        <f t="shared" si="0"/>
        <v>0.03823590134374872</v>
      </c>
      <c r="J20" s="70">
        <f t="shared" si="0"/>
        <v>0.052578414952122426</v>
      </c>
      <c r="K20" s="71">
        <f t="shared" si="0"/>
        <v>0.06927284579753103</v>
      </c>
      <c r="L20" s="53"/>
      <c r="M20" s="53"/>
      <c r="N20" s="19"/>
    </row>
    <row r="21" spans="1:14" ht="12" thickBot="1">
      <c r="A21" s="53"/>
      <c r="B21" s="53"/>
      <c r="C21" s="53"/>
      <c r="D21" s="53"/>
      <c r="E21" s="53"/>
      <c r="F21" s="53"/>
      <c r="G21" s="67">
        <f t="shared" si="1"/>
        <v>40</v>
      </c>
      <c r="H21" s="68">
        <f t="shared" si="0"/>
        <v>0.02522681232471864</v>
      </c>
      <c r="I21" s="69">
        <f t="shared" si="0"/>
        <v>0.03697474768507658</v>
      </c>
      <c r="J21" s="70">
        <f t="shared" si="0"/>
        <v>0.051482363665477246</v>
      </c>
      <c r="K21" s="71">
        <f t="shared" si="0"/>
        <v>0.06840185674713668</v>
      </c>
      <c r="L21" s="53"/>
      <c r="M21" s="53"/>
      <c r="N21" s="19"/>
    </row>
    <row r="22" spans="1:14" ht="12.75" thickBot="1" thickTop="1">
      <c r="A22" s="72"/>
      <c r="B22" s="73"/>
      <c r="C22" s="74" t="s">
        <v>29</v>
      </c>
      <c r="D22" s="75">
        <v>0.05</v>
      </c>
      <c r="E22" s="72" t="s">
        <v>27</v>
      </c>
      <c r="F22" s="75">
        <v>0.02</v>
      </c>
      <c r="G22" s="45"/>
      <c r="H22" s="53"/>
      <c r="I22" s="53"/>
      <c r="J22" s="53"/>
      <c r="K22" s="53"/>
      <c r="L22" s="53"/>
      <c r="M22" s="53"/>
      <c r="N22" s="19"/>
    </row>
    <row r="23" spans="1:14" ht="12" thickTop="1">
      <c r="A23" s="53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9"/>
    </row>
    <row r="24" spans="1:14" ht="12">
      <c r="A24" s="45"/>
      <c r="B24" s="45"/>
      <c r="C24" s="76" t="s">
        <v>6</v>
      </c>
      <c r="D24" s="77" t="s">
        <v>26</v>
      </c>
      <c r="E24" s="45"/>
      <c r="F24" s="45"/>
      <c r="G24" s="45"/>
      <c r="H24" s="53"/>
      <c r="I24" s="45"/>
      <c r="J24" s="45"/>
      <c r="K24" s="53"/>
      <c r="L24" s="53"/>
      <c r="M24" s="53"/>
      <c r="N24" s="1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A1">
      <selection activeCell="C35" sqref="C35"/>
    </sheetView>
  </sheetViews>
  <sheetFormatPr defaultColWidth="9.33203125" defaultRowHeight="11.25"/>
  <cols>
    <col min="1" max="1" width="24.66015625" style="19" customWidth="1"/>
    <col min="2" max="12" width="9.33203125" style="19" customWidth="1"/>
    <col min="13" max="13" width="1.171875" style="19" customWidth="1"/>
    <col min="14" max="14" width="6.33203125" style="19" customWidth="1"/>
    <col min="15" max="16" width="9.33203125" style="19" customWidth="1"/>
    <col min="17" max="17" width="8.16015625" style="19" customWidth="1"/>
    <col min="18" max="16384" width="9.33203125" style="19" customWidth="1"/>
  </cols>
  <sheetData>
    <row r="1" spans="1:12" ht="12.75" thickBot="1" thickTop="1">
      <c r="A1" s="1" t="s">
        <v>4</v>
      </c>
      <c r="B1" s="2">
        <v>0.05</v>
      </c>
      <c r="C1" s="3"/>
      <c r="D1" s="4"/>
      <c r="E1" s="5">
        <f>B1</f>
        <v>0.05</v>
      </c>
      <c r="F1" s="5">
        <f>E1+0.0025</f>
        <v>0.052500000000000005</v>
      </c>
      <c r="G1" s="5">
        <f aca="true" t="shared" si="0" ref="G1:L1">F1+0.0025</f>
        <v>0.05500000000000001</v>
      </c>
      <c r="H1" s="5">
        <f t="shared" si="0"/>
        <v>0.05750000000000001</v>
      </c>
      <c r="I1" s="5">
        <f t="shared" si="0"/>
        <v>0.06000000000000001</v>
      </c>
      <c r="J1" s="5">
        <f t="shared" si="0"/>
        <v>0.06250000000000001</v>
      </c>
      <c r="K1" s="5">
        <f t="shared" si="0"/>
        <v>0.06500000000000002</v>
      </c>
      <c r="L1" s="5">
        <f t="shared" si="0"/>
        <v>0.06750000000000002</v>
      </c>
    </row>
    <row r="2" spans="3:12" ht="12.75" thickBot="1" thickTop="1">
      <c r="C2" s="8"/>
      <c r="D2" s="3"/>
      <c r="E2" s="9"/>
      <c r="F2" s="10"/>
      <c r="G2" s="10"/>
      <c r="H2" s="10"/>
      <c r="I2" s="10"/>
      <c r="J2" s="10"/>
      <c r="K2" s="10"/>
      <c r="L2" s="10"/>
    </row>
    <row r="3" spans="1:19" ht="12" thickTop="1">
      <c r="A3" s="6" t="s">
        <v>0</v>
      </c>
      <c r="B3" s="7">
        <v>0.09</v>
      </c>
      <c r="C3" s="3"/>
      <c r="D3" s="3"/>
      <c r="E3" s="25"/>
      <c r="F3" s="25"/>
      <c r="G3" s="25"/>
      <c r="H3" s="25"/>
      <c r="I3" s="25"/>
      <c r="J3" s="25"/>
      <c r="K3" s="25"/>
      <c r="L3" s="25"/>
      <c r="N3" s="37"/>
      <c r="O3" s="37" t="str">
        <f>"Return="&amp;TEXT(M,"0.0%")&amp;", SD="&amp;TEXT(S,"0.0%")&amp;", i="&amp;TEXT(i,"0.0%")&amp;", W="&amp;TEXT(B1,"0.0%")&amp;", n="&amp;TEXT(n,"0")&amp;" years"</f>
        <v>Return=9.0%, SD=20.0%, i=3.0%, W=5.0%, n=30 years</v>
      </c>
      <c r="P3" s="37"/>
      <c r="Q3" s="37"/>
      <c r="R3" s="37"/>
      <c r="S3" s="37"/>
    </row>
    <row r="4" spans="1:19" ht="11.25">
      <c r="A4" s="11" t="s">
        <v>1</v>
      </c>
      <c r="B4" s="12">
        <v>0.2</v>
      </c>
      <c r="C4" s="3"/>
      <c r="D4" s="14" t="s">
        <v>8</v>
      </c>
      <c r="E4" s="20">
        <f>(1+i)*EXP(-(M-S^2/2))</f>
        <v>0.9603656345031267</v>
      </c>
      <c r="F4" s="20">
        <f aca="true" t="shared" si="1" ref="F4:L4">(1+i)*EXP(-(M-S^2/2))</f>
        <v>0.9603656345031267</v>
      </c>
      <c r="G4" s="20">
        <f t="shared" si="1"/>
        <v>0.9603656345031267</v>
      </c>
      <c r="H4" s="20">
        <f t="shared" si="1"/>
        <v>0.9603656345031267</v>
      </c>
      <c r="I4" s="20">
        <f t="shared" si="1"/>
        <v>0.9603656345031267</v>
      </c>
      <c r="J4" s="20">
        <f t="shared" si="1"/>
        <v>0.9603656345031267</v>
      </c>
      <c r="K4" s="20">
        <f t="shared" si="1"/>
        <v>0.9603656345031267</v>
      </c>
      <c r="L4" s="20">
        <f t="shared" si="1"/>
        <v>0.9603656345031267</v>
      </c>
      <c r="N4" s="37"/>
      <c r="O4" s="37" t="s">
        <v>20</v>
      </c>
      <c r="P4" s="37"/>
      <c r="Q4" s="37"/>
      <c r="R4" s="37"/>
      <c r="S4" s="37"/>
    </row>
    <row r="5" spans="1:19" ht="11.25">
      <c r="A5" s="11" t="s">
        <v>2</v>
      </c>
      <c r="B5" s="13">
        <v>0.03</v>
      </c>
      <c r="C5" s="9"/>
      <c r="D5" s="14" t="s">
        <v>9</v>
      </c>
      <c r="E5" s="20">
        <f>E4^2*(EXP(S^2)-1)</f>
        <v>0.03763986485975641</v>
      </c>
      <c r="F5" s="20">
        <f aca="true" t="shared" si="2" ref="F5:L5">F4^2*(EXP(S^2)-1)</f>
        <v>0.03763986485975641</v>
      </c>
      <c r="G5" s="20">
        <f t="shared" si="2"/>
        <v>0.03763986485975641</v>
      </c>
      <c r="H5" s="20">
        <f t="shared" si="2"/>
        <v>0.03763986485975641</v>
      </c>
      <c r="I5" s="20">
        <f t="shared" si="2"/>
        <v>0.03763986485975641</v>
      </c>
      <c r="J5" s="20">
        <f t="shared" si="2"/>
        <v>0.03763986485975641</v>
      </c>
      <c r="K5" s="20">
        <f t="shared" si="2"/>
        <v>0.03763986485975641</v>
      </c>
      <c r="L5" s="20">
        <f t="shared" si="2"/>
        <v>0.03763986485975641</v>
      </c>
      <c r="N5" s="38" t="s">
        <v>15</v>
      </c>
      <c r="O5" s="39">
        <f>0.5*LN(E6^2/(1+E7/E6^2))</f>
        <v>2.824455207972646</v>
      </c>
      <c r="P5" s="34" t="s">
        <v>17</v>
      </c>
      <c r="Q5" s="37" t="str">
        <f>TEXT(R6,"0.0%")&amp;" do not survive"</f>
        <v>11.8% do not survive</v>
      </c>
      <c r="R5" s="37"/>
      <c r="S5" s="37"/>
    </row>
    <row r="6" spans="1:18" ht="12" thickBot="1">
      <c r="A6" s="15" t="s">
        <v>3</v>
      </c>
      <c r="B6" s="16">
        <v>30</v>
      </c>
      <c r="C6" s="3"/>
      <c r="D6" s="14" t="s">
        <v>10</v>
      </c>
      <c r="E6" s="20">
        <f>E4*(1-E4^n)/(1-E4)</f>
        <v>17.02846532617004</v>
      </c>
      <c r="F6" s="20">
        <f aca="true" t="shared" si="3" ref="F6:L6">F4*(1-F4^n)/(1-F4)</f>
        <v>17.02846532617004</v>
      </c>
      <c r="G6" s="20">
        <f t="shared" si="3"/>
        <v>17.02846532617004</v>
      </c>
      <c r="H6" s="20">
        <f t="shared" si="3"/>
        <v>17.02846532617004</v>
      </c>
      <c r="I6" s="20">
        <f t="shared" si="3"/>
        <v>17.02846532617004</v>
      </c>
      <c r="J6" s="20">
        <f t="shared" si="3"/>
        <v>17.02846532617004</v>
      </c>
      <c r="K6" s="20">
        <f t="shared" si="3"/>
        <v>17.02846532617004</v>
      </c>
      <c r="L6" s="20">
        <f t="shared" si="3"/>
        <v>17.02846532617004</v>
      </c>
      <c r="N6" s="38" t="s">
        <v>16</v>
      </c>
      <c r="O6" s="39">
        <f>SQRT(LN(1+E7/E6^2))</f>
        <v>0.14443799180381262</v>
      </c>
      <c r="P6" s="34">
        <f>6*SQRT(E7)/16</f>
        <v>0.9271654841709126</v>
      </c>
      <c r="Q6" s="34">
        <v>0</v>
      </c>
      <c r="R6" s="41">
        <f>1-LOGNORMDIST(1/B1,O$5,O$6)</f>
        <v>0.11784729385505488</v>
      </c>
    </row>
    <row r="7" spans="1:16" ht="12" thickTop="1">
      <c r="A7" s="33"/>
      <c r="D7" s="14" t="s">
        <v>11</v>
      </c>
      <c r="E7" s="20">
        <f>(E4^2+E5)*(1-(E4^2+E5)^n)/(1-E4^2-E5)-E4^2*(1-E4^(2*n))/(1-E4^2)</f>
        <v>6.112965938047166</v>
      </c>
      <c r="F7" s="20">
        <f aca="true" t="shared" si="4" ref="F7:L7">(F4^2+F5)*(1-(F4^2+F5)^n)/(1-F4^2-F5)-F4^2*(1-F4^(2*n))/(1-F4^2)</f>
        <v>6.112965938047166</v>
      </c>
      <c r="G7" s="20">
        <f t="shared" si="4"/>
        <v>6.112965938047166</v>
      </c>
      <c r="H7" s="20">
        <f t="shared" si="4"/>
        <v>6.112965938047166</v>
      </c>
      <c r="I7" s="20">
        <f t="shared" si="4"/>
        <v>6.112965938047166</v>
      </c>
      <c r="J7" s="20">
        <f t="shared" si="4"/>
        <v>6.112965938047166</v>
      </c>
      <c r="K7" s="20">
        <f t="shared" si="4"/>
        <v>6.112965938047166</v>
      </c>
      <c r="L7" s="20">
        <f t="shared" si="4"/>
        <v>6.112965938047166</v>
      </c>
      <c r="N7" s="34" t="s">
        <v>14</v>
      </c>
      <c r="O7" s="34" t="s">
        <v>18</v>
      </c>
      <c r="P7" s="34" t="s">
        <v>19</v>
      </c>
    </row>
    <row r="8" spans="1:21" ht="11.25">
      <c r="A8" s="17"/>
      <c r="B8" s="32"/>
      <c r="C8" s="3"/>
      <c r="D8" s="18" t="s">
        <v>12</v>
      </c>
      <c r="E8" s="21">
        <f>(LN(1/E1)-0.5*LN(E6^2/(1+E7/E6^2)))/SQRT(LN(1+E7/E6^2))</f>
        <v>1.1858172731589005</v>
      </c>
      <c r="F8" s="21">
        <f aca="true" t="shared" si="5" ref="F8:L8">(LN(1/F1)-0.5*LN(F6^2/(1+F7/F6^2)))/SQRT(LN(1+F7/F6^2))</f>
        <v>0.8480241235857434</v>
      </c>
      <c r="G8" s="21">
        <f t="shared" si="5"/>
        <v>0.5259480890609745</v>
      </c>
      <c r="H8" s="21">
        <f t="shared" si="5"/>
        <v>0.21819136926932822</v>
      </c>
      <c r="I8" s="21">
        <f t="shared" si="5"/>
        <v>-0.07646527810779366</v>
      </c>
      <c r="J8" s="21">
        <f t="shared" si="5"/>
        <v>-0.35909171184901456</v>
      </c>
      <c r="K8" s="21">
        <f t="shared" si="5"/>
        <v>-0.6306318562630572</v>
      </c>
      <c r="L8" s="21">
        <f t="shared" si="5"/>
        <v>-0.8919227224093337</v>
      </c>
      <c r="N8" s="34">
        <f>E6-3*SQRT(E7)</f>
        <v>9.611141452802737</v>
      </c>
      <c r="O8" s="40">
        <f>1-LOGNORMDIST(N8,O$5,O$6)</f>
        <v>0.9999493818459254</v>
      </c>
      <c r="P8" s="41">
        <f>1-$B$1*N8</f>
        <v>0.5194429273598631</v>
      </c>
      <c r="T8" s="42"/>
      <c r="U8" s="43"/>
    </row>
    <row r="9" spans="1:21" ht="11.25">
      <c r="A9" s="17"/>
      <c r="B9" s="5"/>
      <c r="C9" s="23"/>
      <c r="D9" s="24" t="s">
        <v>5</v>
      </c>
      <c r="E9" s="22">
        <f>NORMSDIST(E8)</f>
        <v>0.8821527061449451</v>
      </c>
      <c r="F9" s="22">
        <f aca="true" t="shared" si="6" ref="F9:L9">NORMSDIST(F8)</f>
        <v>0.801787783652069</v>
      </c>
      <c r="G9" s="22">
        <f t="shared" si="6"/>
        <v>0.7005378821883648</v>
      </c>
      <c r="H9" s="22">
        <f t="shared" si="6"/>
        <v>0.586359960456002</v>
      </c>
      <c r="I9" s="22">
        <f t="shared" si="6"/>
        <v>0.46952439989481576</v>
      </c>
      <c r="J9" s="22">
        <f t="shared" si="6"/>
        <v>0.359763299936639</v>
      </c>
      <c r="K9" s="22">
        <f t="shared" si="6"/>
        <v>0.26414056977656886</v>
      </c>
      <c r="L9" s="22">
        <f t="shared" si="6"/>
        <v>0.186217140634381</v>
      </c>
      <c r="N9" s="34">
        <f>N8+$P$6</f>
        <v>10.53830693697365</v>
      </c>
      <c r="O9" s="40">
        <f aca="true" t="shared" si="7" ref="O9:O23">1-LOGNORMDIST(N9,O$5,O$6)</f>
        <v>0.999423121899942</v>
      </c>
      <c r="P9" s="41">
        <f aca="true" t="shared" si="8" ref="P9:P23">1-$B$1*N9</f>
        <v>0.47308465315131754</v>
      </c>
      <c r="T9" s="42"/>
      <c r="U9" s="43"/>
    </row>
    <row r="10" spans="1:21" ht="11.25">
      <c r="A10" s="17"/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N10" s="34">
        <f aca="true" t="shared" si="9" ref="N10:N23">N9+$P$6</f>
        <v>11.465472421144561</v>
      </c>
      <c r="O10" s="40">
        <f t="shared" si="7"/>
        <v>0.9961653998429555</v>
      </c>
      <c r="P10" s="41">
        <f t="shared" si="8"/>
        <v>0.4267263789427719</v>
      </c>
      <c r="T10" s="42"/>
      <c r="U10" s="43"/>
    </row>
    <row r="11" spans="1:21" ht="11.25">
      <c r="A11" s="17"/>
      <c r="B11" s="9"/>
      <c r="C11" s="3"/>
      <c r="D11" s="3"/>
      <c r="E11" s="3"/>
      <c r="F11" s="3"/>
      <c r="G11" s="3"/>
      <c r="H11" s="3"/>
      <c r="I11" s="3"/>
      <c r="J11" s="3"/>
      <c r="K11" s="3"/>
      <c r="L11" s="3"/>
      <c r="N11" s="34">
        <f t="shared" si="9"/>
        <v>12.392637905315473</v>
      </c>
      <c r="O11" s="40">
        <f t="shared" si="7"/>
        <v>0.983328240698951</v>
      </c>
      <c r="P11" s="41">
        <f t="shared" si="8"/>
        <v>0.38036810473422633</v>
      </c>
      <c r="T11" s="42"/>
      <c r="U11" s="43"/>
    </row>
    <row r="12" spans="1:21" ht="11.25">
      <c r="A12" s="17"/>
      <c r="B12" s="9"/>
      <c r="C12" s="3"/>
      <c r="D12" s="3"/>
      <c r="E12" s="3"/>
      <c r="F12" s="3"/>
      <c r="G12" s="3"/>
      <c r="H12" s="3"/>
      <c r="I12" s="3"/>
      <c r="J12" s="3"/>
      <c r="K12" s="3"/>
      <c r="L12" s="3"/>
      <c r="N12" s="34">
        <f t="shared" si="9"/>
        <v>13.319803389486385</v>
      </c>
      <c r="O12" s="40">
        <f t="shared" si="7"/>
        <v>0.948280312328667</v>
      </c>
      <c r="P12" s="41">
        <f t="shared" si="8"/>
        <v>0.3340098305256807</v>
      </c>
      <c r="T12" s="42"/>
      <c r="U12" s="43"/>
    </row>
    <row r="13" spans="1:21" ht="11.25">
      <c r="A13" s="17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N13" s="34">
        <f t="shared" si="9"/>
        <v>14.246968873657297</v>
      </c>
      <c r="O13" s="40">
        <f t="shared" si="7"/>
        <v>0.8774863586019473</v>
      </c>
      <c r="P13" s="41">
        <f t="shared" si="8"/>
        <v>0.2876515563171351</v>
      </c>
      <c r="T13" s="42"/>
      <c r="U13" s="43"/>
    </row>
    <row r="14" spans="1:21" ht="11.25">
      <c r="A14" s="17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N14" s="34">
        <f t="shared" si="9"/>
        <v>15.174134357828208</v>
      </c>
      <c r="O14" s="40">
        <f t="shared" si="7"/>
        <v>0.7660826721110267</v>
      </c>
      <c r="P14" s="41">
        <f t="shared" si="8"/>
        <v>0.24129328210858958</v>
      </c>
      <c r="T14" s="42"/>
      <c r="U14" s="43"/>
    </row>
    <row r="15" spans="1:21" ht="11.25">
      <c r="A15" s="17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N15" s="34">
        <f t="shared" si="9"/>
        <v>16.101299841999122</v>
      </c>
      <c r="O15" s="40">
        <f t="shared" si="7"/>
        <v>0.6237695350867873</v>
      </c>
      <c r="P15" s="41">
        <f t="shared" si="8"/>
        <v>0.1949350079000438</v>
      </c>
      <c r="T15" s="42"/>
      <c r="U15" s="43"/>
    </row>
    <row r="16" spans="1:21" ht="11.25">
      <c r="A16" s="17"/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N16" s="34">
        <f t="shared" si="9"/>
        <v>17.028465326170036</v>
      </c>
      <c r="O16" s="40">
        <f t="shared" si="7"/>
        <v>0.4712137444895472</v>
      </c>
      <c r="P16" s="41">
        <f t="shared" si="8"/>
        <v>0.14857673369149815</v>
      </c>
      <c r="T16" s="42"/>
      <c r="U16" s="43"/>
    </row>
    <row r="17" spans="1:21" ht="11.25">
      <c r="A17" s="17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N17" s="34">
        <f t="shared" si="9"/>
        <v>17.95563081034095</v>
      </c>
      <c r="O17" s="40">
        <f t="shared" si="7"/>
        <v>0.33022978267278535</v>
      </c>
      <c r="P17" s="41">
        <f t="shared" si="8"/>
        <v>0.1022184594829525</v>
      </c>
      <c r="T17" s="42"/>
      <c r="U17" s="43"/>
    </row>
    <row r="18" spans="1:21" ht="11.25">
      <c r="A18" s="17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N18" s="34">
        <f t="shared" si="9"/>
        <v>18.882796294511863</v>
      </c>
      <c r="O18" s="40">
        <f t="shared" si="7"/>
        <v>0.21539098608776852</v>
      </c>
      <c r="P18" s="41">
        <f t="shared" si="8"/>
        <v>0.05586018527440684</v>
      </c>
      <c r="T18" s="42"/>
      <c r="U18" s="43"/>
    </row>
    <row r="19" spans="1:21" ht="11.25">
      <c r="A19" s="17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N19" s="34">
        <f t="shared" si="9"/>
        <v>19.809961778682776</v>
      </c>
      <c r="O19" s="40">
        <f t="shared" si="7"/>
        <v>0.13141716361731182</v>
      </c>
      <c r="P19" s="41">
        <f t="shared" si="8"/>
        <v>0.00950191106586118</v>
      </c>
      <c r="T19" s="42"/>
      <c r="U19" s="43"/>
    </row>
    <row r="20" spans="1:21" ht="11.25">
      <c r="A20" s="17"/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N20" s="34">
        <f t="shared" si="9"/>
        <v>20.73712726285369</v>
      </c>
      <c r="O20" s="40">
        <f t="shared" si="7"/>
        <v>0.07544457481211231</v>
      </c>
      <c r="P20" s="41">
        <f t="shared" si="8"/>
        <v>-0.03685636314268459</v>
      </c>
      <c r="T20" s="42"/>
      <c r="U20" s="43"/>
    </row>
    <row r="21" spans="1:21" ht="11.25">
      <c r="A21" s="17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N21" s="34">
        <f t="shared" si="9"/>
        <v>21.664292747024604</v>
      </c>
      <c r="O21" s="40">
        <f t="shared" si="7"/>
        <v>0.04099753445746712</v>
      </c>
      <c r="P21" s="41">
        <f t="shared" si="8"/>
        <v>-0.08321463735123014</v>
      </c>
      <c r="T21" s="42"/>
      <c r="U21" s="43"/>
    </row>
    <row r="22" spans="1:21" ht="11.25">
      <c r="A22" s="17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N22" s="34">
        <f t="shared" si="9"/>
        <v>22.591458231195517</v>
      </c>
      <c r="O22" s="40">
        <f t="shared" si="7"/>
        <v>0.02121075292937935</v>
      </c>
      <c r="P22" s="41">
        <f t="shared" si="8"/>
        <v>-0.1295729115597759</v>
      </c>
      <c r="T22" s="42"/>
      <c r="U22" s="43"/>
    </row>
    <row r="23" spans="1:21" ht="11.25">
      <c r="A23" s="17"/>
      <c r="B23" s="9"/>
      <c r="C23" s="3"/>
      <c r="D23" s="3"/>
      <c r="E23" s="3"/>
      <c r="F23" s="3"/>
      <c r="G23" s="3"/>
      <c r="H23" s="3"/>
      <c r="I23" s="3"/>
      <c r="J23" s="3"/>
      <c r="K23" s="3"/>
      <c r="L23" s="3"/>
      <c r="N23" s="34">
        <f t="shared" si="9"/>
        <v>23.51862371536643</v>
      </c>
      <c r="O23" s="40">
        <f t="shared" si="7"/>
        <v>0.010504449194583154</v>
      </c>
      <c r="P23" s="41">
        <f t="shared" si="8"/>
        <v>-0.17593118576832167</v>
      </c>
      <c r="T23" s="42"/>
      <c r="U23" s="43"/>
    </row>
    <row r="24" spans="1:12" ht="14.25">
      <c r="A24" s="27"/>
      <c r="B24" s="28" t="s">
        <v>13</v>
      </c>
      <c r="C24" s="29"/>
      <c r="D24" s="23"/>
      <c r="E24" s="26" t="str">
        <f>"= "&amp;TEXT((EXP(M-S^2/2)/(1+i)-1)/(1-(EXP(M-S^2/2)/(1+i))^-n),"0.0%")</f>
        <v>= 5.9%</v>
      </c>
      <c r="F24" s="3"/>
      <c r="G24" s="3"/>
      <c r="H24" s="3"/>
      <c r="I24" s="3"/>
      <c r="J24" s="3"/>
      <c r="K24" s="3"/>
      <c r="L24" s="3"/>
    </row>
    <row r="25" spans="1:12" ht="11.25">
      <c r="A25" s="30"/>
      <c r="B25" s="31" t="str">
        <f>"for  Return ="&amp;TEXT(M,"0.0%")&amp;", SD = "&amp;TEXT(S,"0.0%")&amp;", Inflation ="&amp;TEXT(i,"0.0%")</f>
        <v>for  Return =9.0%, SD = 20.0%, Inflation =3.0%</v>
      </c>
      <c r="C25" s="3"/>
      <c r="D25" s="36"/>
      <c r="E25" s="35" t="str">
        <f>"for "&amp;TEXT(n,"0")&amp;" years"</f>
        <v>for 30 years</v>
      </c>
      <c r="H25" s="3"/>
      <c r="I25" s="3"/>
      <c r="J25" s="3"/>
      <c r="K25" s="3"/>
      <c r="L25" s="3"/>
    </row>
    <row r="27" spans="5:6" ht="12">
      <c r="E27" s="79" t="s">
        <v>6</v>
      </c>
      <c r="F27" s="78" t="s">
        <v>7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Peter Ponzo</cp:lastModifiedBy>
  <dcterms:created xsi:type="dcterms:W3CDTF">2003-06-14T15:12:35Z</dcterms:created>
  <dcterms:modified xsi:type="dcterms:W3CDTF">2003-08-13T02:13:26Z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